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25" windowWidth="6075" windowHeight="4470" tabRatio="212" activeTab="2"/>
  </bookViews>
  <sheets>
    <sheet name="ИНП" sheetId="40" r:id="rId1"/>
    <sheet name="ИБР" sheetId="37" r:id="rId2"/>
    <sheet name="Дотация 2020" sheetId="39" r:id="rId3"/>
    <sheet name="2021" sheetId="41" r:id="rId4"/>
    <sheet name="2022" sheetId="42" r:id="rId5"/>
    <sheet name="24" sheetId="34" state="hidden" r:id="rId6"/>
    <sheet name="28" sheetId="32" state="hidden" r:id="rId7"/>
    <sheet name="41" sheetId="36" state="hidden" r:id="rId8"/>
  </sheets>
  <externalReferences>
    <externalReference r:id="rId9"/>
    <externalReference r:id="rId10"/>
  </externalReferences>
  <definedNames>
    <definedName name="_xlnm._FilterDatabase" localSheetId="5" hidden="1">'24'!$A$10:$H$27</definedName>
    <definedName name="_xlnm._FilterDatabase" localSheetId="6" hidden="1">'28'!$A$10:$H$38</definedName>
    <definedName name="_xlnm._FilterDatabase" localSheetId="7" hidden="1">'41'!$A$9:$P$40</definedName>
    <definedName name="_xlnm._FilterDatabase" localSheetId="0" hidden="1">ИНП!#REF!</definedName>
    <definedName name="Choice">[1]Вспомогательный!$A$18:$B$18</definedName>
    <definedName name="Data1" localSheetId="3">#REF!</definedName>
    <definedName name="Data1" localSheetId="4">#REF!</definedName>
    <definedName name="Data1" localSheetId="5">#REF!</definedName>
    <definedName name="Data1" localSheetId="6">#REF!</definedName>
    <definedName name="Data1" localSheetId="7">#REF!</definedName>
    <definedName name="Data1" localSheetId="2">#REF!</definedName>
    <definedName name="Data1">#REF!</definedName>
    <definedName name="Data2" localSheetId="3">#REF!</definedName>
    <definedName name="Data2" localSheetId="4">#REF!</definedName>
    <definedName name="Data2" localSheetId="5">#REF!</definedName>
    <definedName name="Data2" localSheetId="6">#REF!</definedName>
    <definedName name="Data2" localSheetId="7">#REF!</definedName>
    <definedName name="Data2" localSheetId="2">#REF!</definedName>
    <definedName name="Data2">#REF!</definedName>
    <definedName name="Data3" localSheetId="3">#REF!</definedName>
    <definedName name="Data3" localSheetId="4">#REF!</definedName>
    <definedName name="Data3" localSheetId="5">#REF!</definedName>
    <definedName name="Data3" localSheetId="6">#REF!</definedName>
    <definedName name="Data3" localSheetId="7">#REF!</definedName>
    <definedName name="Data3" localSheetId="2">#REF!</definedName>
    <definedName name="Data3">#REF!</definedName>
    <definedName name="Economy1" localSheetId="3">#REF!</definedName>
    <definedName name="Economy1" localSheetId="4">#REF!</definedName>
    <definedName name="Economy1" localSheetId="5">#REF!</definedName>
    <definedName name="Economy1" localSheetId="6">#REF!</definedName>
    <definedName name="Economy1" localSheetId="7">#REF!</definedName>
    <definedName name="Economy1" localSheetId="2">#REF!</definedName>
    <definedName name="Economy1">#REF!</definedName>
    <definedName name="Economy2" localSheetId="3">#REF!</definedName>
    <definedName name="Economy2" localSheetId="4">#REF!</definedName>
    <definedName name="Economy2" localSheetId="5">#REF!</definedName>
    <definedName name="Economy2" localSheetId="6">#REF!</definedName>
    <definedName name="Economy2" localSheetId="7">#REF!</definedName>
    <definedName name="Economy2" localSheetId="2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3">[2]Вспомогательный!#REF!</definedName>
    <definedName name="taxes" localSheetId="4">[2]Вспомогательный!#REF!</definedName>
    <definedName name="taxes" localSheetId="5">[2]Вспомогательный!#REF!</definedName>
    <definedName name="taxes" localSheetId="6">[2]Вспомогательный!#REF!</definedName>
    <definedName name="taxes" localSheetId="7">[2]Вспомогательный!#REF!</definedName>
    <definedName name="taxes" localSheetId="2">[2]Вспомогательный!#REF!</definedName>
    <definedName name="taxes">[2]Вспомогательный!#REF!</definedName>
    <definedName name="_xlnm.Print_Area" localSheetId="5">'24'!$A$1:$H$27</definedName>
    <definedName name="_xlnm.Print_Area" localSheetId="6">'28'!$A$1:$H$38</definedName>
    <definedName name="_xlnm.Print_Area" localSheetId="7">'41'!$A$1:$G$40</definedName>
  </definedNames>
  <calcPr calcId="145621"/>
</workbook>
</file>

<file path=xl/calcChain.xml><?xml version="1.0" encoding="utf-8"?>
<calcChain xmlns="http://schemas.openxmlformats.org/spreadsheetml/2006/main">
  <c r="C7" i="39" l="1"/>
  <c r="C8" i="39"/>
  <c r="C9" i="39"/>
  <c r="C10" i="39"/>
  <c r="A6" i="39" s="1"/>
  <c r="C11" i="39"/>
  <c r="C12" i="39"/>
  <c r="C13" i="39"/>
  <c r="C14" i="39"/>
  <c r="C15" i="39"/>
  <c r="C16" i="39"/>
  <c r="C17" i="39"/>
  <c r="C18" i="39"/>
  <c r="C23" i="37"/>
  <c r="K19" i="42"/>
  <c r="K19" i="41"/>
  <c r="L3" i="41"/>
  <c r="E21" i="37"/>
  <c r="J21" i="37"/>
  <c r="G21" i="37"/>
  <c r="E20" i="37"/>
  <c r="J20" i="37" s="1"/>
  <c r="E19" i="37"/>
  <c r="F18" i="37"/>
  <c r="K18" i="37" s="1"/>
  <c r="E16" i="37"/>
  <c r="J16" i="37" s="1"/>
  <c r="E15" i="37"/>
  <c r="F15" i="37"/>
  <c r="K15" i="37" s="1"/>
  <c r="E14" i="37"/>
  <c r="J14" i="37"/>
  <c r="F14" i="37"/>
  <c r="G14" i="37"/>
  <c r="L14" i="37" s="1"/>
  <c r="C7" i="42"/>
  <c r="C8" i="42"/>
  <c r="C9" i="42"/>
  <c r="C10" i="42"/>
  <c r="C11" i="42"/>
  <c r="C12" i="42"/>
  <c r="C13" i="42"/>
  <c r="C14" i="42"/>
  <c r="C15" i="42"/>
  <c r="C16" i="42"/>
  <c r="C17" i="42"/>
  <c r="C18" i="42"/>
  <c r="G6" i="42"/>
  <c r="I15" i="37"/>
  <c r="J10" i="37"/>
  <c r="J11" i="37"/>
  <c r="J12" i="37"/>
  <c r="J13" i="37"/>
  <c r="J15" i="37"/>
  <c r="J17" i="37"/>
  <c r="J18" i="37"/>
  <c r="J19" i="37"/>
  <c r="K10" i="37"/>
  <c r="K11" i="37"/>
  <c r="K12" i="37"/>
  <c r="K13" i="37"/>
  <c r="K14" i="37"/>
  <c r="K16" i="37"/>
  <c r="K17" i="37"/>
  <c r="K19" i="37"/>
  <c r="K20" i="37"/>
  <c r="K21" i="37"/>
  <c r="L10" i="37"/>
  <c r="L11" i="37"/>
  <c r="L12" i="37"/>
  <c r="L13" i="37"/>
  <c r="L15" i="37"/>
  <c r="L16" i="37"/>
  <c r="L17" i="37"/>
  <c r="L18" i="37"/>
  <c r="L19" i="37"/>
  <c r="L20" i="37"/>
  <c r="L21" i="37"/>
  <c r="M15" i="37"/>
  <c r="H6" i="37"/>
  <c r="C7" i="41"/>
  <c r="C8" i="41"/>
  <c r="C9" i="41"/>
  <c r="C10" i="41"/>
  <c r="C11" i="41"/>
  <c r="C12" i="41"/>
  <c r="C13" i="41"/>
  <c r="C14" i="41"/>
  <c r="C15" i="41"/>
  <c r="C16" i="41"/>
  <c r="C17" i="41"/>
  <c r="C18" i="41"/>
  <c r="G6" i="41"/>
  <c r="I13" i="37"/>
  <c r="I10" i="37"/>
  <c r="I11" i="37"/>
  <c r="I12" i="37"/>
  <c r="I14" i="37"/>
  <c r="I16" i="37"/>
  <c r="I17" i="37"/>
  <c r="I18" i="37"/>
  <c r="I19" i="37"/>
  <c r="I20" i="37"/>
  <c r="I21" i="37"/>
  <c r="H12" i="37"/>
  <c r="M12" i="37"/>
  <c r="M10" i="37"/>
  <c r="M11" i="37"/>
  <c r="M13" i="37"/>
  <c r="M14" i="37"/>
  <c r="M16" i="37"/>
  <c r="M17" i="37"/>
  <c r="M18" i="37"/>
  <c r="M19" i="37"/>
  <c r="M20" i="37"/>
  <c r="M21" i="37"/>
  <c r="D14" i="40"/>
  <c r="E14" i="40"/>
  <c r="H22" i="40" s="1"/>
  <c r="F14" i="40"/>
  <c r="J14" i="40"/>
  <c r="K14" i="40"/>
  <c r="L14" i="40"/>
  <c r="P14" i="40"/>
  <c r="R19" i="40" s="1"/>
  <c r="Q14" i="40"/>
  <c r="R16" i="40" s="1"/>
  <c r="U14" i="40"/>
  <c r="V14" i="40"/>
  <c r="X25" i="40" s="1"/>
  <c r="W14" i="40"/>
  <c r="R15" i="40"/>
  <c r="R18" i="40"/>
  <c r="X20" i="40"/>
  <c r="R21" i="40"/>
  <c r="R25" i="40"/>
  <c r="C14" i="40"/>
  <c r="D3" i="40"/>
  <c r="G6" i="39"/>
  <c r="F3" i="40"/>
  <c r="E3" i="40"/>
  <c r="N17" i="40"/>
  <c r="S16" i="40"/>
  <c r="S18" i="40"/>
  <c r="S22" i="40"/>
  <c r="S24" i="40"/>
  <c r="S26" i="40"/>
  <c r="T24" i="40"/>
  <c r="T16" i="40"/>
  <c r="T19" i="40"/>
  <c r="T21" i="40"/>
  <c r="T23" i="40"/>
  <c r="T26" i="40"/>
  <c r="O15" i="40"/>
  <c r="C9" i="37"/>
  <c r="A9" i="37"/>
  <c r="T17" i="36"/>
  <c r="G6" i="36"/>
  <c r="H10" i="36"/>
  <c r="H16" i="36"/>
  <c r="T40" i="36"/>
  <c r="P40" i="36"/>
  <c r="U40" i="36" s="1"/>
  <c r="K40" i="36"/>
  <c r="J40" i="36"/>
  <c r="I40" i="36"/>
  <c r="H40" i="36"/>
  <c r="T39" i="36"/>
  <c r="U39" i="36" s="1"/>
  <c r="P39" i="36"/>
  <c r="K39" i="36"/>
  <c r="J39" i="36"/>
  <c r="I39" i="36"/>
  <c r="H39" i="36"/>
  <c r="T38" i="36"/>
  <c r="U38" i="36"/>
  <c r="P38" i="36"/>
  <c r="K38" i="36"/>
  <c r="J38" i="36"/>
  <c r="I38" i="36"/>
  <c r="H38" i="36"/>
  <c r="T37" i="36"/>
  <c r="U37" i="36" s="1"/>
  <c r="P37" i="36"/>
  <c r="K37" i="36"/>
  <c r="J37" i="36"/>
  <c r="I37" i="36"/>
  <c r="H37" i="36"/>
  <c r="T36" i="36"/>
  <c r="P36" i="36"/>
  <c r="U36" i="36" s="1"/>
  <c r="K36" i="36"/>
  <c r="J36" i="36"/>
  <c r="I36" i="36"/>
  <c r="H36" i="36"/>
  <c r="T35" i="36"/>
  <c r="P35" i="36"/>
  <c r="U35" i="36"/>
  <c r="K35" i="36"/>
  <c r="J35" i="36"/>
  <c r="I35" i="36"/>
  <c r="H35" i="36"/>
  <c r="T34" i="36"/>
  <c r="U34" i="36"/>
  <c r="P34" i="36"/>
  <c r="K34" i="36"/>
  <c r="J34" i="36"/>
  <c r="I34" i="36"/>
  <c r="H34" i="36"/>
  <c r="T33" i="36"/>
  <c r="P33" i="36"/>
  <c r="K33" i="36"/>
  <c r="J33" i="36"/>
  <c r="I33" i="36"/>
  <c r="H33" i="36"/>
  <c r="T32" i="36"/>
  <c r="P32" i="36"/>
  <c r="U32" i="36" s="1"/>
  <c r="K32" i="36"/>
  <c r="J32" i="36"/>
  <c r="I32" i="36"/>
  <c r="H32" i="36"/>
  <c r="T31" i="36"/>
  <c r="U31" i="36" s="1"/>
  <c r="P31" i="36"/>
  <c r="K31" i="36"/>
  <c r="J31" i="36"/>
  <c r="I31" i="36"/>
  <c r="H31" i="36"/>
  <c r="T30" i="36"/>
  <c r="U30" i="36"/>
  <c r="P30" i="36"/>
  <c r="K30" i="36"/>
  <c r="J30" i="36"/>
  <c r="I30" i="36"/>
  <c r="H30" i="36"/>
  <c r="T29" i="36"/>
  <c r="U29" i="36" s="1"/>
  <c r="P29" i="36"/>
  <c r="K29" i="36"/>
  <c r="J29" i="36"/>
  <c r="I29" i="36"/>
  <c r="H29" i="36"/>
  <c r="T28" i="36"/>
  <c r="P28" i="36"/>
  <c r="U28" i="36" s="1"/>
  <c r="K28" i="36"/>
  <c r="J28" i="36"/>
  <c r="I28" i="36"/>
  <c r="H28" i="36"/>
  <c r="T27" i="36"/>
  <c r="P27" i="36"/>
  <c r="U27" i="36"/>
  <c r="K27" i="36"/>
  <c r="J27" i="36"/>
  <c r="I27" i="36"/>
  <c r="H27" i="36"/>
  <c r="T26" i="36"/>
  <c r="U26" i="36"/>
  <c r="P26" i="36"/>
  <c r="K26" i="36"/>
  <c r="J26" i="36"/>
  <c r="I26" i="36"/>
  <c r="H26" i="36"/>
  <c r="T25" i="36"/>
  <c r="U25" i="36" s="1"/>
  <c r="P25" i="36"/>
  <c r="K25" i="36"/>
  <c r="J25" i="36"/>
  <c r="I25" i="36"/>
  <c r="H25" i="36"/>
  <c r="T24" i="36"/>
  <c r="P24" i="36"/>
  <c r="U24" i="36" s="1"/>
  <c r="K24" i="36"/>
  <c r="J24" i="36"/>
  <c r="I24" i="36"/>
  <c r="H24" i="36"/>
  <c r="T23" i="36"/>
  <c r="U23" i="36" s="1"/>
  <c r="P23" i="36"/>
  <c r="K23" i="36"/>
  <c r="J23" i="36"/>
  <c r="I23" i="36"/>
  <c r="H23" i="36"/>
  <c r="T22" i="36"/>
  <c r="U22" i="36"/>
  <c r="P22" i="36"/>
  <c r="K22" i="36"/>
  <c r="J22" i="36"/>
  <c r="I22" i="36"/>
  <c r="H22" i="36"/>
  <c r="T21" i="36"/>
  <c r="K21" i="36"/>
  <c r="J21" i="36"/>
  <c r="I21" i="36"/>
  <c r="H21" i="36"/>
  <c r="T20" i="36"/>
  <c r="K20" i="36"/>
  <c r="J20" i="36"/>
  <c r="I20" i="36"/>
  <c r="H20" i="36"/>
  <c r="T19" i="36"/>
  <c r="K19" i="36"/>
  <c r="J19" i="36"/>
  <c r="I19" i="36"/>
  <c r="H19" i="36"/>
  <c r="T18" i="36"/>
  <c r="K18" i="36"/>
  <c r="J18" i="36"/>
  <c r="I18" i="36"/>
  <c r="H18" i="36"/>
  <c r="K17" i="36"/>
  <c r="J17" i="36"/>
  <c r="I17" i="36"/>
  <c r="H17" i="36"/>
  <c r="T16" i="36"/>
  <c r="K16" i="36"/>
  <c r="J16" i="36"/>
  <c r="I16" i="36"/>
  <c r="T15" i="36"/>
  <c r="K15" i="36"/>
  <c r="J15" i="36"/>
  <c r="I15" i="36"/>
  <c r="H15" i="36"/>
  <c r="T14" i="36"/>
  <c r="K14" i="36"/>
  <c r="J14" i="36"/>
  <c r="I14" i="36"/>
  <c r="H14" i="36"/>
  <c r="T13" i="36"/>
  <c r="K13" i="36"/>
  <c r="J13" i="36"/>
  <c r="I13" i="36"/>
  <c r="H13" i="36"/>
  <c r="T12" i="36"/>
  <c r="K12" i="36"/>
  <c r="J12" i="36"/>
  <c r="I12" i="36"/>
  <c r="H12" i="36"/>
  <c r="T11" i="36"/>
  <c r="K11" i="36"/>
  <c r="J11" i="36"/>
  <c r="I11" i="36"/>
  <c r="H11" i="36"/>
  <c r="T10" i="36"/>
  <c r="K10" i="36"/>
  <c r="J10" i="36"/>
  <c r="I10" i="36"/>
  <c r="S9" i="36"/>
  <c r="T9" i="36" s="1"/>
  <c r="G9" i="36"/>
  <c r="F9" i="36"/>
  <c r="E9" i="36"/>
  <c r="D9" i="36"/>
  <c r="C9" i="36"/>
  <c r="A9" i="36"/>
  <c r="L31" i="32"/>
  <c r="K12" i="32"/>
  <c r="K13" i="32"/>
  <c r="L13" i="32" s="1"/>
  <c r="K14" i="32"/>
  <c r="L14" i="32" s="1"/>
  <c r="K15" i="32"/>
  <c r="L15" i="32" s="1"/>
  <c r="K16" i="32"/>
  <c r="K17" i="32"/>
  <c r="L17" i="32" s="1"/>
  <c r="K18" i="32"/>
  <c r="K19" i="32"/>
  <c r="L19" i="32" s="1"/>
  <c r="M19" i="32" s="1"/>
  <c r="K20" i="32"/>
  <c r="K21" i="32"/>
  <c r="K22" i="32"/>
  <c r="L22" i="32" s="1"/>
  <c r="K23" i="32"/>
  <c r="K24" i="32"/>
  <c r="L24" i="32"/>
  <c r="K25" i="32"/>
  <c r="K26" i="32"/>
  <c r="L26" i="32" s="1"/>
  <c r="K27" i="32"/>
  <c r="L27" i="32" s="1"/>
  <c r="K28" i="32"/>
  <c r="L28" i="32"/>
  <c r="K29" i="32"/>
  <c r="K30" i="32"/>
  <c r="K31" i="32"/>
  <c r="K32" i="32"/>
  <c r="L32" i="32"/>
  <c r="K33" i="32"/>
  <c r="K34" i="32"/>
  <c r="K35" i="32"/>
  <c r="L35" i="32" s="1"/>
  <c r="K36" i="32"/>
  <c r="K37" i="32"/>
  <c r="K38" i="32"/>
  <c r="L38" i="32" s="1"/>
  <c r="J10" i="32"/>
  <c r="K11" i="32"/>
  <c r="J10" i="34"/>
  <c r="K10" i="34" s="1"/>
  <c r="K12" i="34"/>
  <c r="L12" i="34" s="1"/>
  <c r="K13" i="34"/>
  <c r="K14" i="34"/>
  <c r="K15" i="34"/>
  <c r="K16" i="34"/>
  <c r="L16" i="34" s="1"/>
  <c r="K17" i="34"/>
  <c r="K18" i="34"/>
  <c r="L18" i="34" s="1"/>
  <c r="K19" i="34"/>
  <c r="K20" i="34"/>
  <c r="K21" i="34"/>
  <c r="K22" i="34"/>
  <c r="K23" i="34"/>
  <c r="K24" i="34"/>
  <c r="L24" i="34" s="1"/>
  <c r="K25" i="34"/>
  <c r="K26" i="34"/>
  <c r="K27" i="34"/>
  <c r="K11" i="34"/>
  <c r="L11" i="34" s="1"/>
  <c r="G10" i="34"/>
  <c r="F10" i="34"/>
  <c r="E10" i="34"/>
  <c r="D10" i="34"/>
  <c r="C10" i="34"/>
  <c r="A10" i="34"/>
  <c r="G7" i="34"/>
  <c r="H11" i="34" s="1"/>
  <c r="H17" i="34"/>
  <c r="L17" i="34" s="1"/>
  <c r="H12" i="34"/>
  <c r="H13" i="34"/>
  <c r="L13" i="34" s="1"/>
  <c r="H14" i="34"/>
  <c r="L14" i="34" s="1"/>
  <c r="H18" i="34"/>
  <c r="G10" i="32"/>
  <c r="F10" i="32"/>
  <c r="E10" i="32"/>
  <c r="D10" i="32"/>
  <c r="C10" i="32"/>
  <c r="A10" i="32"/>
  <c r="G7" i="32"/>
  <c r="H36" i="32"/>
  <c r="L36" i="32" s="1"/>
  <c r="H13" i="32"/>
  <c r="H18" i="32"/>
  <c r="H23" i="32"/>
  <c r="L23" i="32"/>
  <c r="H29" i="32"/>
  <c r="H34" i="32"/>
  <c r="H14" i="32"/>
  <c r="H19" i="32"/>
  <c r="H25" i="32"/>
  <c r="L25" i="32" s="1"/>
  <c r="H30" i="32"/>
  <c r="H35" i="32"/>
  <c r="H15" i="32"/>
  <c r="H21" i="32"/>
  <c r="L21" i="32" s="1"/>
  <c r="H26" i="32"/>
  <c r="H31" i="32"/>
  <c r="H37" i="32"/>
  <c r="H11" i="32"/>
  <c r="L11" i="32" s="1"/>
  <c r="H17" i="32"/>
  <c r="H22" i="32"/>
  <c r="H27" i="32"/>
  <c r="H33" i="32"/>
  <c r="L33" i="32" s="1"/>
  <c r="H38" i="32"/>
  <c r="H12" i="32"/>
  <c r="H16" i="32"/>
  <c r="H20" i="32"/>
  <c r="L20" i="32" s="1"/>
  <c r="H24" i="32"/>
  <c r="H28" i="32"/>
  <c r="H32" i="32"/>
  <c r="L37" i="32"/>
  <c r="L29" i="32"/>
  <c r="K9" i="36"/>
  <c r="V24" i="36"/>
  <c r="V40" i="36"/>
  <c r="V22" i="36"/>
  <c r="V26" i="36"/>
  <c r="H27" i="34"/>
  <c r="L27" i="34"/>
  <c r="M27" i="34"/>
  <c r="H24" i="34"/>
  <c r="H25" i="34"/>
  <c r="L25" i="34" s="1"/>
  <c r="M25" i="34"/>
  <c r="H26" i="34"/>
  <c r="H23" i="34"/>
  <c r="L23" i="34" s="1"/>
  <c r="M23" i="34"/>
  <c r="H20" i="34"/>
  <c r="H21" i="34"/>
  <c r="L21" i="34"/>
  <c r="M21" i="34"/>
  <c r="H22" i="34"/>
  <c r="L22" i="34"/>
  <c r="H19" i="34"/>
  <c r="L19" i="34" s="1"/>
  <c r="L16" i="32"/>
  <c r="O37" i="36"/>
  <c r="H16" i="34"/>
  <c r="L26" i="34"/>
  <c r="K10" i="32"/>
  <c r="V31" i="36"/>
  <c r="X19" i="40"/>
  <c r="Z23" i="40"/>
  <c r="M23" i="40"/>
  <c r="N23" i="40"/>
  <c r="G24" i="40"/>
  <c r="G22" i="40"/>
  <c r="I17" i="40"/>
  <c r="H25" i="40"/>
  <c r="M26" i="40"/>
  <c r="A6" i="41"/>
  <c r="K9" i="37"/>
  <c r="L9" i="37"/>
  <c r="Q14" i="37"/>
  <c r="Q19" i="37"/>
  <c r="O24" i="36"/>
  <c r="P16" i="37"/>
  <c r="M16" i="32"/>
  <c r="M20" i="32"/>
  <c r="M32" i="32"/>
  <c r="M36" i="32"/>
  <c r="M17" i="32"/>
  <c r="M25" i="32"/>
  <c r="M33" i="32"/>
  <c r="M37" i="32"/>
  <c r="M22" i="32"/>
  <c r="M26" i="32"/>
  <c r="M35" i="32"/>
  <c r="M23" i="32"/>
  <c r="M27" i="32"/>
  <c r="P20" i="37" l="1"/>
  <c r="P11" i="37"/>
  <c r="P13" i="37"/>
  <c r="O33" i="36"/>
  <c r="O31" i="36"/>
  <c r="O16" i="36"/>
  <c r="O27" i="36"/>
  <c r="O39" i="36"/>
  <c r="O36" i="36"/>
  <c r="O11" i="36"/>
  <c r="O15" i="36"/>
  <c r="O35" i="36"/>
  <c r="O30" i="36"/>
  <c r="O38" i="36"/>
  <c r="O21" i="36"/>
  <c r="O13" i="36"/>
  <c r="O28" i="36"/>
  <c r="M16" i="40"/>
  <c r="M21" i="40"/>
  <c r="N20" i="40"/>
  <c r="O17" i="40"/>
  <c r="AC17" i="40" s="1"/>
  <c r="N18" i="40"/>
  <c r="O16" i="40"/>
  <c r="O14" i="40" s="1"/>
  <c r="M18" i="40"/>
  <c r="O24" i="40"/>
  <c r="M20" i="40"/>
  <c r="M25" i="40"/>
  <c r="O23" i="40"/>
  <c r="O18" i="40"/>
  <c r="N16" i="40"/>
  <c r="N25" i="40"/>
  <c r="M24" i="40"/>
  <c r="AA24" i="40" s="1"/>
  <c r="O21" i="40"/>
  <c r="Q12" i="37"/>
  <c r="Q20" i="37"/>
  <c r="Q17" i="37"/>
  <c r="Q11" i="37"/>
  <c r="O14" i="36"/>
  <c r="H24" i="40"/>
  <c r="G16" i="40"/>
  <c r="AA16" i="40" s="1"/>
  <c r="M19" i="40"/>
  <c r="X15" i="40"/>
  <c r="O18" i="36"/>
  <c r="N15" i="40"/>
  <c r="Y18" i="40"/>
  <c r="O12" i="36"/>
  <c r="Q10" i="37"/>
  <c r="Q13" i="37"/>
  <c r="P10" i="37"/>
  <c r="O29" i="36"/>
  <c r="Q18" i="37"/>
  <c r="O20" i="36"/>
  <c r="I25" i="40"/>
  <c r="G23" i="40"/>
  <c r="H19" i="40"/>
  <c r="O19" i="40"/>
  <c r="Z19" i="40"/>
  <c r="Y16" i="40"/>
  <c r="L20" i="34"/>
  <c r="L34" i="32"/>
  <c r="M34" i="32" s="1"/>
  <c r="J9" i="36"/>
  <c r="N11" i="36" s="1"/>
  <c r="I9" i="36"/>
  <c r="M12" i="36" s="1"/>
  <c r="N16" i="36"/>
  <c r="N21" i="36"/>
  <c r="N23" i="36"/>
  <c r="N22" i="40"/>
  <c r="AB22" i="40" s="1"/>
  <c r="P12" i="37"/>
  <c r="J9" i="37"/>
  <c r="O12" i="37" s="1"/>
  <c r="P18" i="37"/>
  <c r="O21" i="37"/>
  <c r="X16" i="40"/>
  <c r="Y17" i="40"/>
  <c r="Z15" i="40"/>
  <c r="Z26" i="40"/>
  <c r="Y23" i="40"/>
  <c r="Y24" i="40"/>
  <c r="X17" i="40"/>
  <c r="X18" i="40"/>
  <c r="X23" i="40"/>
  <c r="Y25" i="40"/>
  <c r="AB25" i="40" s="1"/>
  <c r="Y20" i="40"/>
  <c r="Z17" i="40"/>
  <c r="Y15" i="40"/>
  <c r="Y22" i="40"/>
  <c r="Z21" i="40"/>
  <c r="X21" i="40"/>
  <c r="X22" i="40"/>
  <c r="Z25" i="40"/>
  <c r="Z16" i="40"/>
  <c r="Z22" i="40"/>
  <c r="Y26" i="40"/>
  <c r="X24" i="40"/>
  <c r="Z18" i="40"/>
  <c r="X26" i="40"/>
  <c r="Z24" i="40"/>
  <c r="H15" i="40"/>
  <c r="H26" i="40"/>
  <c r="AB26" i="40" s="1"/>
  <c r="I21" i="40"/>
  <c r="I23" i="40"/>
  <c r="I15" i="40"/>
  <c r="I16" i="40"/>
  <c r="AC16" i="40" s="1"/>
  <c r="G17" i="40"/>
  <c r="G25" i="40"/>
  <c r="AA25" i="40" s="1"/>
  <c r="H20" i="40"/>
  <c r="I20" i="40"/>
  <c r="H17" i="40"/>
  <c r="G20" i="40"/>
  <c r="G15" i="40"/>
  <c r="G26" i="40"/>
  <c r="AA26" i="40" s="1"/>
  <c r="H16" i="40"/>
  <c r="AB16" i="40" s="1"/>
  <c r="I22" i="40"/>
  <c r="G19" i="40"/>
  <c r="H21" i="40"/>
  <c r="I19" i="40"/>
  <c r="G21" i="40"/>
  <c r="AA21" i="40" s="1"/>
  <c r="I24" i="40"/>
  <c r="H18" i="40"/>
  <c r="AB18" i="40" s="1"/>
  <c r="H23" i="40"/>
  <c r="I9" i="37"/>
  <c r="N13" i="37"/>
  <c r="Q15" i="37"/>
  <c r="G18" i="40"/>
  <c r="O22" i="40"/>
  <c r="Z20" i="40"/>
  <c r="O19" i="36"/>
  <c r="O25" i="36"/>
  <c r="O23" i="36"/>
  <c r="O26" i="36"/>
  <c r="M30" i="36"/>
  <c r="P14" i="37"/>
  <c r="P17" i="37"/>
  <c r="O10" i="36"/>
  <c r="Q21" i="37"/>
  <c r="Q16" i="37"/>
  <c r="P19" i="37"/>
  <c r="I26" i="40"/>
  <c r="I18" i="40"/>
  <c r="AC18" i="40" s="1"/>
  <c r="M15" i="40"/>
  <c r="M17" i="40"/>
  <c r="Y19" i="40"/>
  <c r="Y21" i="40"/>
  <c r="M24" i="32"/>
  <c r="M13" i="32"/>
  <c r="M29" i="32"/>
  <c r="M18" i="32"/>
  <c r="M15" i="32"/>
  <c r="M31" i="32"/>
  <c r="M28" i="32"/>
  <c r="M21" i="32"/>
  <c r="M14" i="32"/>
  <c r="M38" i="32"/>
  <c r="M11" i="32"/>
  <c r="M10" i="32" s="1"/>
  <c r="O22" i="36"/>
  <c r="M18" i="34"/>
  <c r="M11" i="34"/>
  <c r="M20" i="34"/>
  <c r="M14" i="34"/>
  <c r="M16" i="34"/>
  <c r="M12" i="34"/>
  <c r="M17" i="34"/>
  <c r="M19" i="34"/>
  <c r="M26" i="34"/>
  <c r="M15" i="34"/>
  <c r="M24" i="34"/>
  <c r="M13" i="34"/>
  <c r="M22" i="34"/>
  <c r="V27" i="36"/>
  <c r="V36" i="36"/>
  <c r="V30" i="36"/>
  <c r="V35" i="36"/>
  <c r="V23" i="36"/>
  <c r="V39" i="36"/>
  <c r="V28" i="36"/>
  <c r="V29" i="36"/>
  <c r="V34" i="36"/>
  <c r="V32" i="36"/>
  <c r="V37" i="36"/>
  <c r="V38" i="36"/>
  <c r="V25" i="36"/>
  <c r="N37" i="36"/>
  <c r="O40" i="36"/>
  <c r="C6" i="41"/>
  <c r="P21" i="37"/>
  <c r="O17" i="37"/>
  <c r="A6" i="42"/>
  <c r="P15" i="37"/>
  <c r="D23" i="37"/>
  <c r="F23" i="37"/>
  <c r="E23" i="37"/>
  <c r="G23" i="37"/>
  <c r="L18" i="32"/>
  <c r="N29" i="36"/>
  <c r="O32" i="36"/>
  <c r="U33" i="36"/>
  <c r="V33" i="36" s="1"/>
  <c r="O34" i="36"/>
  <c r="N18" i="37"/>
  <c r="L30" i="32"/>
  <c r="M30" i="32" s="1"/>
  <c r="N33" i="36"/>
  <c r="S20" i="40"/>
  <c r="R22" i="40"/>
  <c r="M9" i="37"/>
  <c r="N20" i="37"/>
  <c r="N11" i="37"/>
  <c r="C6" i="39"/>
  <c r="L12" i="32"/>
  <c r="M12" i="32" s="1"/>
  <c r="H9" i="36"/>
  <c r="L16" i="36" s="1"/>
  <c r="N13" i="36"/>
  <c r="O17" i="36"/>
  <c r="R17" i="40"/>
  <c r="R14" i="40" s="1"/>
  <c r="R20" i="40"/>
  <c r="R23" i="40"/>
  <c r="R26" i="40"/>
  <c r="S17" i="40"/>
  <c r="S21" i="40"/>
  <c r="S25" i="40"/>
  <c r="T17" i="40"/>
  <c r="T20" i="40"/>
  <c r="T25" i="40"/>
  <c r="M22" i="40"/>
  <c r="AA22" i="40" s="1"/>
  <c r="O25" i="40"/>
  <c r="O26" i="40"/>
  <c r="N26" i="40"/>
  <c r="O20" i="40"/>
  <c r="N19" i="40"/>
  <c r="N24" i="40"/>
  <c r="N21" i="40"/>
  <c r="N19" i="37"/>
  <c r="C6" i="42"/>
  <c r="O14" i="37"/>
  <c r="H15" i="34"/>
  <c r="L15" i="34" s="1"/>
  <c r="T22" i="40"/>
  <c r="T18" i="40"/>
  <c r="T15" i="40"/>
  <c r="T14" i="40" s="1"/>
  <c r="S23" i="40"/>
  <c r="S19" i="40"/>
  <c r="S15" i="40"/>
  <c r="R24" i="40"/>
  <c r="AB21" i="40" l="1"/>
  <c r="AC20" i="40"/>
  <c r="Z14" i="40"/>
  <c r="M22" i="36"/>
  <c r="M17" i="36"/>
  <c r="N14" i="40"/>
  <c r="S14" i="40"/>
  <c r="L39" i="36"/>
  <c r="R21" i="37"/>
  <c r="R11" i="37"/>
  <c r="R14" i="37"/>
  <c r="R15" i="37"/>
  <c r="R17" i="37"/>
  <c r="R16" i="37"/>
  <c r="R19" i="37"/>
  <c r="R12" i="37"/>
  <c r="R10" i="37"/>
  <c r="R9" i="37" s="1"/>
  <c r="R13" i="37"/>
  <c r="R20" i="37"/>
  <c r="M10" i="34"/>
  <c r="AA19" i="40"/>
  <c r="AB20" i="40"/>
  <c r="H14" i="40"/>
  <c r="AB15" i="40"/>
  <c r="L33" i="36"/>
  <c r="N16" i="37"/>
  <c r="N15" i="37"/>
  <c r="S15" i="37" s="1"/>
  <c r="N17" i="37"/>
  <c r="N21" i="37"/>
  <c r="S21" i="37" s="1"/>
  <c r="N10" i="37"/>
  <c r="N12" i="37"/>
  <c r="S12" i="37" s="1"/>
  <c r="AC22" i="40"/>
  <c r="AA20" i="40"/>
  <c r="AC23" i="40"/>
  <c r="Y14" i="40"/>
  <c r="N15" i="36"/>
  <c r="AA23" i="40"/>
  <c r="AB24" i="40"/>
  <c r="N14" i="37"/>
  <c r="S14" i="37" s="1"/>
  <c r="L40" i="36"/>
  <c r="L24" i="36"/>
  <c r="L20" i="36"/>
  <c r="L15" i="36"/>
  <c r="P15" i="36" s="1"/>
  <c r="U15" i="36" s="1"/>
  <c r="V15" i="36" s="1"/>
  <c r="L26" i="36"/>
  <c r="L29" i="36"/>
  <c r="L37" i="36"/>
  <c r="L18" i="36"/>
  <c r="L35" i="36"/>
  <c r="L23" i="36"/>
  <c r="L31" i="36"/>
  <c r="L17" i="36"/>
  <c r="L30" i="36"/>
  <c r="L38" i="36"/>
  <c r="L14" i="36"/>
  <c r="L34" i="36"/>
  <c r="L21" i="36"/>
  <c r="L19" i="36"/>
  <c r="P19" i="36" s="1"/>
  <c r="U19" i="36" s="1"/>
  <c r="V19" i="36" s="1"/>
  <c r="L12" i="36"/>
  <c r="L11" i="36"/>
  <c r="P11" i="36" s="1"/>
  <c r="U11" i="36" s="1"/>
  <c r="V11" i="36" s="1"/>
  <c r="L13" i="36"/>
  <c r="L28" i="36"/>
  <c r="L22" i="36"/>
  <c r="L36" i="36"/>
  <c r="L32" i="36"/>
  <c r="L10" i="36"/>
  <c r="M21" i="36"/>
  <c r="M27" i="36"/>
  <c r="M29" i="36"/>
  <c r="M39" i="36"/>
  <c r="M24" i="36"/>
  <c r="M32" i="36"/>
  <c r="M31" i="36"/>
  <c r="M13" i="36"/>
  <c r="M25" i="36"/>
  <c r="M38" i="36"/>
  <c r="M33" i="36"/>
  <c r="M37" i="36"/>
  <c r="M11" i="36"/>
  <c r="M15" i="36"/>
  <c r="M26" i="36"/>
  <c r="M19" i="36"/>
  <c r="M34" i="36"/>
  <c r="M10" i="36"/>
  <c r="M16" i="36"/>
  <c r="P16" i="36" s="1"/>
  <c r="U16" i="36" s="1"/>
  <c r="V16" i="36" s="1"/>
  <c r="M20" i="36"/>
  <c r="M23" i="36"/>
  <c r="M35" i="36"/>
  <c r="M40" i="36"/>
  <c r="M14" i="36"/>
  <c r="M36" i="36"/>
  <c r="L27" i="36"/>
  <c r="L25" i="36"/>
  <c r="AC26" i="40"/>
  <c r="AC24" i="40"/>
  <c r="G14" i="40"/>
  <c r="AA15" i="40"/>
  <c r="I14" i="40"/>
  <c r="AC15" i="40"/>
  <c r="AB19" i="40"/>
  <c r="Q9" i="37"/>
  <c r="M28" i="36"/>
  <c r="S11" i="37"/>
  <c r="R18" i="37"/>
  <c r="M14" i="40"/>
  <c r="AA18" i="40"/>
  <c r="AB23" i="40"/>
  <c r="AC19" i="40"/>
  <c r="AB17" i="40"/>
  <c r="AA17" i="40"/>
  <c r="AC21" i="40"/>
  <c r="O13" i="37"/>
  <c r="S13" i="37" s="1"/>
  <c r="O11" i="37"/>
  <c r="O10" i="37"/>
  <c r="O16" i="37"/>
  <c r="O19" i="37"/>
  <c r="S19" i="37" s="1"/>
  <c r="O15" i="37"/>
  <c r="O18" i="37"/>
  <c r="S18" i="37" s="1"/>
  <c r="O20" i="37"/>
  <c r="S20" i="37" s="1"/>
  <c r="M18" i="36"/>
  <c r="N36" i="36"/>
  <c r="N20" i="36"/>
  <c r="N24" i="36"/>
  <c r="N32" i="36"/>
  <c r="N40" i="36"/>
  <c r="N25" i="36"/>
  <c r="N27" i="36"/>
  <c r="N10" i="36"/>
  <c r="N19" i="36"/>
  <c r="N28" i="36"/>
  <c r="N12" i="36"/>
  <c r="N17" i="36"/>
  <c r="N22" i="36"/>
  <c r="N30" i="36"/>
  <c r="N35" i="36"/>
  <c r="N14" i="36"/>
  <c r="N18" i="36"/>
  <c r="N34" i="36"/>
  <c r="N39" i="36"/>
  <c r="N38" i="36"/>
  <c r="N31" i="36"/>
  <c r="N26" i="36"/>
  <c r="AC25" i="40"/>
  <c r="P9" i="37"/>
  <c r="X14" i="40"/>
  <c r="E16" i="39" l="1"/>
  <c r="E16" i="42"/>
  <c r="E16" i="41"/>
  <c r="E10" i="39"/>
  <c r="E10" i="42"/>
  <c r="E10" i="41"/>
  <c r="E17" i="39"/>
  <c r="E17" i="41"/>
  <c r="E17" i="42"/>
  <c r="E15" i="39"/>
  <c r="E15" i="41"/>
  <c r="E15" i="42"/>
  <c r="AG15" i="40"/>
  <c r="D7" i="39" s="1"/>
  <c r="AA14" i="40"/>
  <c r="O9" i="37"/>
  <c r="AG17" i="40"/>
  <c r="D9" i="39" s="1"/>
  <c r="F9" i="39" s="1"/>
  <c r="H9" i="39" s="1"/>
  <c r="I9" i="39" s="1"/>
  <c r="E8" i="39"/>
  <c r="E8" i="42"/>
  <c r="E8" i="41"/>
  <c r="AC14" i="40"/>
  <c r="AI15" i="40" s="1"/>
  <c r="D7" i="42" s="1"/>
  <c r="AI24" i="40"/>
  <c r="D16" i="42" s="1"/>
  <c r="F16" i="42" s="1"/>
  <c r="H16" i="42" s="1"/>
  <c r="I16" i="42" s="1"/>
  <c r="P10" i="36"/>
  <c r="U10" i="36" s="1"/>
  <c r="V10" i="36" s="1"/>
  <c r="AG23" i="40"/>
  <c r="D15" i="39" s="1"/>
  <c r="F15" i="39" s="1"/>
  <c r="H15" i="39" s="1"/>
  <c r="I15" i="39" s="1"/>
  <c r="L15" i="39" s="1"/>
  <c r="E9" i="41"/>
  <c r="E9" i="39"/>
  <c r="E9" i="42"/>
  <c r="E12" i="39"/>
  <c r="E12" i="42"/>
  <c r="E12" i="41"/>
  <c r="AG18" i="40"/>
  <c r="D10" i="39" s="1"/>
  <c r="AI26" i="40"/>
  <c r="D18" i="42" s="1"/>
  <c r="P13" i="36"/>
  <c r="U13" i="36" s="1"/>
  <c r="V13" i="36" s="1"/>
  <c r="P21" i="36"/>
  <c r="U21" i="36" s="1"/>
  <c r="V21" i="36" s="1"/>
  <c r="AG20" i="40"/>
  <c r="D12" i="39" s="1"/>
  <c r="S10" i="37"/>
  <c r="N9" i="37"/>
  <c r="S16" i="37"/>
  <c r="AG19" i="40"/>
  <c r="D11" i="39" s="1"/>
  <c r="P17" i="36"/>
  <c r="U17" i="36" s="1"/>
  <c r="V17" i="36" s="1"/>
  <c r="P18" i="36"/>
  <c r="U18" i="36" s="1"/>
  <c r="V18" i="36" s="1"/>
  <c r="E11" i="39"/>
  <c r="E11" i="41"/>
  <c r="E11" i="42"/>
  <c r="AI22" i="40"/>
  <c r="D14" i="42" s="1"/>
  <c r="E18" i="39"/>
  <c r="E18" i="41"/>
  <c r="E18" i="42"/>
  <c r="AB14" i="40"/>
  <c r="AI20" i="40"/>
  <c r="D12" i="42" s="1"/>
  <c r="F12" i="42" s="1"/>
  <c r="H12" i="42" s="1"/>
  <c r="I12" i="42" s="1"/>
  <c r="AI25" i="40"/>
  <c r="D17" i="42" s="1"/>
  <c r="F17" i="42" s="1"/>
  <c r="H17" i="42" s="1"/>
  <c r="I17" i="42" s="1"/>
  <c r="AI21" i="40"/>
  <c r="D13" i="42" s="1"/>
  <c r="AI19" i="40"/>
  <c r="D11" i="42" s="1"/>
  <c r="F11" i="42" s="1"/>
  <c r="H11" i="42" s="1"/>
  <c r="I11" i="42" s="1"/>
  <c r="P12" i="36"/>
  <c r="U12" i="36" s="1"/>
  <c r="V12" i="36" s="1"/>
  <c r="P14" i="36"/>
  <c r="U14" i="36" s="1"/>
  <c r="V14" i="36" s="1"/>
  <c r="P20" i="36"/>
  <c r="U20" i="36" s="1"/>
  <c r="V20" i="36" s="1"/>
  <c r="AI23" i="40"/>
  <c r="D15" i="42" s="1"/>
  <c r="S17" i="37"/>
  <c r="AH18" i="40" l="1"/>
  <c r="D10" i="41" s="1"/>
  <c r="F10" i="41" s="1"/>
  <c r="H10" i="41" s="1"/>
  <c r="I10" i="41" s="1"/>
  <c r="AH22" i="40"/>
  <c r="D14" i="41" s="1"/>
  <c r="AH16" i="40"/>
  <c r="D8" i="41" s="1"/>
  <c r="F8" i="41" s="1"/>
  <c r="H8" i="41" s="1"/>
  <c r="I8" i="41" s="1"/>
  <c r="AH26" i="40"/>
  <c r="D18" i="41" s="1"/>
  <c r="F18" i="41" s="1"/>
  <c r="H18" i="41" s="1"/>
  <c r="I18" i="41" s="1"/>
  <c r="AH25" i="40"/>
  <c r="D17" i="41" s="1"/>
  <c r="F17" i="41" s="1"/>
  <c r="H17" i="41" s="1"/>
  <c r="I17" i="41" s="1"/>
  <c r="AH20" i="40"/>
  <c r="D12" i="41" s="1"/>
  <c r="F12" i="41" s="1"/>
  <c r="H12" i="41" s="1"/>
  <c r="I12" i="41" s="1"/>
  <c r="F15" i="42"/>
  <c r="H15" i="42" s="1"/>
  <c r="I15" i="42" s="1"/>
  <c r="E7" i="39"/>
  <c r="E7" i="42"/>
  <c r="F7" i="42" s="1"/>
  <c r="H7" i="42" s="1"/>
  <c r="I7" i="42" s="1"/>
  <c r="I6" i="42" s="1"/>
  <c r="E7" i="41"/>
  <c r="F18" i="42"/>
  <c r="H18" i="42" s="1"/>
  <c r="I18" i="42" s="1"/>
  <c r="AH24" i="40"/>
  <c r="D16" i="41" s="1"/>
  <c r="F16" i="41" s="1"/>
  <c r="H16" i="41" s="1"/>
  <c r="I16" i="41" s="1"/>
  <c r="AH19" i="40"/>
  <c r="D11" i="41" s="1"/>
  <c r="F11" i="41" s="1"/>
  <c r="H11" i="41" s="1"/>
  <c r="I11" i="41" s="1"/>
  <c r="F11" i="39"/>
  <c r="H11" i="39" s="1"/>
  <c r="I11" i="39" s="1"/>
  <c r="L11" i="39" s="1"/>
  <c r="F12" i="39"/>
  <c r="H12" i="39" s="1"/>
  <c r="I12" i="39" s="1"/>
  <c r="L12" i="39" s="1"/>
  <c r="F10" i="39"/>
  <c r="H10" i="39" s="1"/>
  <c r="I10" i="39" s="1"/>
  <c r="L10" i="39" s="1"/>
  <c r="AG24" i="40"/>
  <c r="D16" i="39" s="1"/>
  <c r="F16" i="39" s="1"/>
  <c r="H16" i="39" s="1"/>
  <c r="I16" i="39" s="1"/>
  <c r="L16" i="39" s="1"/>
  <c r="AG21" i="40"/>
  <c r="D13" i="39" s="1"/>
  <c r="AG22" i="40"/>
  <c r="D14" i="39" s="1"/>
  <c r="AG16" i="40"/>
  <c r="D8" i="39" s="1"/>
  <c r="F8" i="39" s="1"/>
  <c r="H8" i="39" s="1"/>
  <c r="I8" i="39" s="1"/>
  <c r="L8" i="39" s="1"/>
  <c r="AG25" i="40"/>
  <c r="D17" i="39" s="1"/>
  <c r="F17" i="39" s="1"/>
  <c r="H17" i="39" s="1"/>
  <c r="I17" i="39" s="1"/>
  <c r="L17" i="39" s="1"/>
  <c r="AG26" i="40"/>
  <c r="D18" i="39" s="1"/>
  <c r="F18" i="39" s="1"/>
  <c r="H18" i="39" s="1"/>
  <c r="I18" i="39" s="1"/>
  <c r="L18" i="39" s="1"/>
  <c r="E14" i="39"/>
  <c r="E14" i="42"/>
  <c r="E14" i="41"/>
  <c r="F14" i="42"/>
  <c r="H14" i="42" s="1"/>
  <c r="I14" i="42" s="1"/>
  <c r="V9" i="36"/>
  <c r="AH21" i="40"/>
  <c r="D13" i="41" s="1"/>
  <c r="AH15" i="40"/>
  <c r="D7" i="41" s="1"/>
  <c r="F7" i="41" s="1"/>
  <c r="H7" i="41" s="1"/>
  <c r="I7" i="41" s="1"/>
  <c r="E13" i="39"/>
  <c r="E13" i="42"/>
  <c r="F13" i="42" s="1"/>
  <c r="H13" i="42" s="1"/>
  <c r="I13" i="42" s="1"/>
  <c r="E13" i="41"/>
  <c r="AH17" i="40"/>
  <c r="D9" i="41" s="1"/>
  <c r="F9" i="41" s="1"/>
  <c r="H9" i="41" s="1"/>
  <c r="I9" i="41" s="1"/>
  <c r="AI17" i="40"/>
  <c r="D9" i="42" s="1"/>
  <c r="F9" i="42" s="1"/>
  <c r="H9" i="42" s="1"/>
  <c r="I9" i="42" s="1"/>
  <c r="AI16" i="40"/>
  <c r="D8" i="42" s="1"/>
  <c r="F8" i="42" s="1"/>
  <c r="H8" i="42" s="1"/>
  <c r="I8" i="42" s="1"/>
  <c r="AI18" i="40"/>
  <c r="D10" i="42" s="1"/>
  <c r="F10" i="42" s="1"/>
  <c r="H10" i="42" s="1"/>
  <c r="I10" i="42" s="1"/>
  <c r="AH23" i="40"/>
  <c r="D15" i="41" s="1"/>
  <c r="F15" i="41" s="1"/>
  <c r="H15" i="41" s="1"/>
  <c r="I15" i="41" s="1"/>
  <c r="F7" i="39"/>
  <c r="H7" i="39" s="1"/>
  <c r="I7" i="39" s="1"/>
  <c r="L7" i="39" l="1"/>
  <c r="F14" i="39"/>
  <c r="H14" i="39" s="1"/>
  <c r="I14" i="39" s="1"/>
  <c r="L14" i="39" s="1"/>
  <c r="F13" i="39"/>
  <c r="H13" i="39" s="1"/>
  <c r="I13" i="39" s="1"/>
  <c r="L13" i="39" s="1"/>
  <c r="F14" i="41"/>
  <c r="H14" i="41" s="1"/>
  <c r="I14" i="41" s="1"/>
  <c r="I6" i="41" s="1"/>
  <c r="F13" i="41"/>
  <c r="H13" i="41" s="1"/>
  <c r="I13" i="41" s="1"/>
  <c r="I6" i="39" l="1"/>
  <c r="L19" i="39"/>
  <c r="L23" i="39" s="1"/>
</calcChain>
</file>

<file path=xl/sharedStrings.xml><?xml version="1.0" encoding="utf-8"?>
<sst xmlns="http://schemas.openxmlformats.org/spreadsheetml/2006/main" count="332" uniqueCount="167">
  <si>
    <t>№</t>
  </si>
  <si>
    <t>Итого по поселениям</t>
  </si>
  <si>
    <t>Индекс расходов бюджета</t>
  </si>
  <si>
    <t>Численность постоянного населения</t>
  </si>
  <si>
    <t>Ячейки, выделенные цветом заполняются районом самостоятельно</t>
  </si>
  <si>
    <t>Наименования поселений</t>
  </si>
  <si>
    <r>
      <t>а</t>
    </r>
    <r>
      <rPr>
        <b/>
        <vertAlign val="subscript"/>
        <sz val="18"/>
        <color indexed="12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</si>
  <si>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color indexed="12"/>
        <rFont val="Times New Roman"/>
        <family val="1"/>
        <charset val="204"/>
      </rPr>
      <t>2</t>
    </r>
    <r>
      <rPr>
        <sz val="11"/>
        <color indexed="8"/>
        <rFont val="Calibri"/>
        <family val="2"/>
        <charset val="204"/>
      </rPr>
      <t/>
    </r>
  </si>
  <si>
    <r>
      <t>а</t>
    </r>
    <r>
      <rPr>
        <b/>
        <vertAlign val="subscript"/>
        <sz val="18"/>
        <color indexed="12"/>
        <rFont val="Times New Roman"/>
        <family val="1"/>
        <charset val="204"/>
      </rPr>
      <t>3</t>
    </r>
    <r>
      <rPr>
        <sz val="11"/>
        <color indexed="8"/>
        <rFont val="Calibri"/>
        <family val="2"/>
        <charset val="204"/>
      </rPr>
      <t/>
    </r>
  </si>
  <si>
    <t>Лишние строки по поселениям удалите с конца списка</t>
  </si>
  <si>
    <r>
      <t>а</t>
    </r>
    <r>
      <rPr>
        <b/>
        <vertAlign val="subscript"/>
        <sz val="18"/>
        <color indexed="12"/>
        <rFont val="Times New Roman"/>
        <family val="1"/>
        <charset val="204"/>
      </rPr>
      <t>4</t>
    </r>
    <r>
      <rPr>
        <sz val="11"/>
        <color indexed="8"/>
        <rFont val="Calibri"/>
        <family val="2"/>
        <charset val="204"/>
      </rPr>
      <t/>
    </r>
  </si>
  <si>
    <t>28 Березовское с.п.</t>
  </si>
  <si>
    <t>28 Бирюсинское г.п.</t>
  </si>
  <si>
    <t>28 Бирюсинское с.п.</t>
  </si>
  <si>
    <t>28 Борисовское с.п.</t>
  </si>
  <si>
    <t>28 Бузыкановское с.п.</t>
  </si>
  <si>
    <t>28 Венгерское с.п.</t>
  </si>
  <si>
    <t>28 Джогинское с.п.</t>
  </si>
  <si>
    <t>28 Зареченское с.п.</t>
  </si>
  <si>
    <t>28 Квитокское г.п.</t>
  </si>
  <si>
    <t>28 Мирнинское с.п.</t>
  </si>
  <si>
    <t>28 Нижнезаимское с.п.</t>
  </si>
  <si>
    <t>28 Николаевское с.п.</t>
  </si>
  <si>
    <t>28 Новобирюсинское г.п.</t>
  </si>
  <si>
    <t>28 Полинчетское с.п.</t>
  </si>
  <si>
    <t>28 Половино-Черемховское с.п.</t>
  </si>
  <si>
    <t>28 Разгонское с.п.</t>
  </si>
  <si>
    <t>28 Рождественское с.п.</t>
  </si>
  <si>
    <t>28 Соляновское с.п.</t>
  </si>
  <si>
    <t>28 Старо-Акульшетское с.п.</t>
  </si>
  <si>
    <t>28 Тайшетское г.п.</t>
  </si>
  <si>
    <t>28 Тальское с.п.</t>
  </si>
  <si>
    <t>28 Тамтачетское с.п.</t>
  </si>
  <si>
    <t>28 Тимирязевское с.п.</t>
  </si>
  <si>
    <t>28 Черчетское с.п.</t>
  </si>
  <si>
    <t>28 Шелаевское с.п.</t>
  </si>
  <si>
    <t>28 Шелеховское с.п.</t>
  </si>
  <si>
    <t>28 Шиткинское г.п.</t>
  </si>
  <si>
    <t>28 Юртинское г.п.</t>
  </si>
  <si>
    <r>
      <t xml:space="preserve">Оценка расходов поселений на содержание </t>
    </r>
    <r>
      <rPr>
        <b/>
        <sz val="12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</si>
  <si>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</si>
  <si>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</t>
    </r>
    <r>
      <rPr>
        <b/>
        <sz val="12"/>
        <rFont val="Times New Roman"/>
        <family val="1"/>
        <charset val="204"/>
      </rPr>
      <t>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</si>
  <si>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1"/>
        <rFont val="Times New Roman"/>
        <family val="1"/>
        <charset val="204"/>
      </rPr>
      <t>электро-, тепло-</t>
    </r>
    <r>
      <rPr>
        <sz val="11"/>
        <rFont val="Times New Roman"/>
        <family val="1"/>
        <charset val="204"/>
      </rPr>
      <t>...</t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</si>
  <si>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color indexed="12"/>
        <rFont val="Times New Roman"/>
        <family val="1"/>
        <charset val="204"/>
      </rPr>
      <t xml:space="preserve"> а</t>
    </r>
    <r>
      <rPr>
        <b/>
        <vertAlign val="subscript"/>
        <sz val="14"/>
        <color indexed="12"/>
        <rFont val="Times New Roman"/>
        <family val="1"/>
        <charset val="204"/>
      </rPr>
      <t>1</t>
    </r>
    <r>
      <rPr>
        <b/>
        <sz val="14"/>
        <color indexed="12"/>
        <rFont val="Times New Roman"/>
        <family val="1"/>
        <charset val="204"/>
      </rPr>
      <t>+а</t>
    </r>
    <r>
      <rPr>
        <b/>
        <vertAlign val="subscript"/>
        <sz val="14"/>
        <color indexed="12"/>
        <rFont val="Times New Roman"/>
        <family val="1"/>
        <charset val="204"/>
      </rPr>
      <t>2</t>
    </r>
    <r>
      <rPr>
        <b/>
        <sz val="14"/>
        <color indexed="12"/>
        <rFont val="Times New Roman"/>
        <family val="1"/>
        <charset val="204"/>
      </rPr>
      <t>+а</t>
    </r>
    <r>
      <rPr>
        <b/>
        <vertAlign val="subscript"/>
        <sz val="14"/>
        <color indexed="12"/>
        <rFont val="Times New Roman"/>
        <family val="1"/>
        <charset val="204"/>
      </rPr>
      <t>3</t>
    </r>
    <r>
      <rPr>
        <b/>
        <sz val="14"/>
        <color indexed="12"/>
        <rFont val="Times New Roman"/>
        <family val="1"/>
        <charset val="204"/>
      </rPr>
      <t>+а</t>
    </r>
    <r>
      <rPr>
        <b/>
        <vertAlign val="subscript"/>
        <sz val="14"/>
        <color indexed="12"/>
        <rFont val="Times New Roman"/>
        <family val="1"/>
        <charset val="204"/>
      </rPr>
      <t>4</t>
    </r>
    <r>
      <rPr>
        <b/>
        <sz val="14"/>
        <color indexed="12"/>
        <rFont val="Times New Roman"/>
        <family val="1"/>
        <charset val="204"/>
      </rPr>
      <t>=1</t>
    </r>
  </si>
  <si>
    <r>
      <t>ИБР=(а</t>
    </r>
    <r>
      <rPr>
        <b/>
        <vertAlign val="subscript"/>
        <sz val="20"/>
        <color indexed="12"/>
        <rFont val="Times New Roman"/>
        <family val="1"/>
        <charset val="204"/>
      </rPr>
      <t>1</t>
    </r>
    <r>
      <rPr>
        <b/>
        <sz val="20"/>
        <color indexed="12"/>
        <rFont val="Times New Roman"/>
        <family val="1"/>
        <charset val="204"/>
      </rPr>
      <t>*</t>
    </r>
    <r>
      <rPr>
        <b/>
        <sz val="20"/>
        <color indexed="10"/>
        <rFont val="Times New Roman"/>
        <family val="1"/>
        <charset val="204"/>
      </rPr>
      <t>Р</t>
    </r>
    <r>
      <rPr>
        <b/>
        <vertAlign val="superscript"/>
        <sz val="20"/>
        <color indexed="10"/>
        <rFont val="Times New Roman"/>
        <family val="1"/>
        <charset val="204"/>
      </rPr>
      <t>ОМСУ</t>
    </r>
    <r>
      <rPr>
        <b/>
        <sz val="20"/>
        <color indexed="12"/>
        <rFont val="Times New Roman"/>
        <family val="1"/>
        <charset val="204"/>
      </rPr>
      <t>+а</t>
    </r>
    <r>
      <rPr>
        <b/>
        <vertAlign val="subscript"/>
        <sz val="20"/>
        <color indexed="12"/>
        <rFont val="Times New Roman"/>
        <family val="1"/>
        <charset val="204"/>
      </rPr>
      <t>2</t>
    </r>
    <r>
      <rPr>
        <b/>
        <sz val="20"/>
        <color indexed="12"/>
        <rFont val="Times New Roman"/>
        <family val="1"/>
        <charset val="204"/>
      </rPr>
      <t>*</t>
    </r>
    <r>
      <rPr>
        <b/>
        <sz val="20"/>
        <color indexed="10"/>
        <rFont val="Times New Roman"/>
        <family val="1"/>
        <charset val="204"/>
      </rPr>
      <t>Р</t>
    </r>
    <r>
      <rPr>
        <b/>
        <vertAlign val="superscript"/>
        <sz val="20"/>
        <color indexed="10"/>
        <rFont val="Times New Roman"/>
        <family val="1"/>
        <charset val="204"/>
      </rPr>
      <t>КУЛ</t>
    </r>
    <r>
      <rPr>
        <b/>
        <sz val="20"/>
        <color indexed="12"/>
        <rFont val="Times New Roman"/>
        <family val="1"/>
        <charset val="204"/>
      </rPr>
      <t>+а</t>
    </r>
    <r>
      <rPr>
        <b/>
        <vertAlign val="subscript"/>
        <sz val="20"/>
        <color indexed="12"/>
        <rFont val="Times New Roman"/>
        <family val="1"/>
        <charset val="204"/>
      </rPr>
      <t>3</t>
    </r>
    <r>
      <rPr>
        <b/>
        <sz val="20"/>
        <color indexed="12"/>
        <rFont val="Times New Roman"/>
        <family val="1"/>
        <charset val="204"/>
      </rPr>
      <t>*</t>
    </r>
    <r>
      <rPr>
        <b/>
        <sz val="20"/>
        <color indexed="10"/>
        <rFont val="Times New Roman"/>
        <family val="1"/>
        <charset val="204"/>
      </rPr>
      <t>Р</t>
    </r>
    <r>
      <rPr>
        <b/>
        <vertAlign val="superscript"/>
        <sz val="20"/>
        <color indexed="10"/>
        <rFont val="Times New Roman"/>
        <family val="1"/>
        <charset val="204"/>
      </rPr>
      <t>БЛ</t>
    </r>
    <r>
      <rPr>
        <b/>
        <sz val="20"/>
        <color indexed="12"/>
        <rFont val="Times New Roman"/>
        <family val="1"/>
        <charset val="204"/>
      </rPr>
      <t>+а</t>
    </r>
    <r>
      <rPr>
        <b/>
        <vertAlign val="subscript"/>
        <sz val="20"/>
        <color indexed="12"/>
        <rFont val="Times New Roman"/>
        <family val="1"/>
        <charset val="204"/>
      </rPr>
      <t>4</t>
    </r>
    <r>
      <rPr>
        <b/>
        <sz val="20"/>
        <color indexed="12"/>
        <rFont val="Times New Roman"/>
        <family val="1"/>
        <charset val="204"/>
      </rPr>
      <t>*</t>
    </r>
    <r>
      <rPr>
        <b/>
        <sz val="20"/>
        <color indexed="10"/>
        <rFont val="Times New Roman"/>
        <family val="1"/>
        <charset val="204"/>
      </rPr>
      <t>Р</t>
    </r>
    <r>
      <rPr>
        <b/>
        <vertAlign val="superscript"/>
        <sz val="20"/>
        <color indexed="10"/>
        <rFont val="Times New Roman"/>
        <family val="1"/>
        <charset val="204"/>
      </rPr>
      <t>ЭЛ</t>
    </r>
    <r>
      <rPr>
        <b/>
        <sz val="20"/>
        <color indexed="12"/>
        <rFont val="Times New Roman"/>
        <family val="1"/>
        <charset val="204"/>
      </rPr>
      <t>)/</t>
    </r>
    <r>
      <rPr>
        <b/>
        <sz val="20"/>
        <color indexed="10"/>
        <rFont val="Times New Roman"/>
        <family val="1"/>
        <charset val="204"/>
      </rPr>
      <t>ЧН</t>
    </r>
  </si>
  <si>
    <t>3404101 Сельское поселение "Бильчир"</t>
  </si>
  <si>
    <t>3404102 Сельское поселение "Бурят-Янгуты"</t>
  </si>
  <si>
    <t>3404103 Сельское поселение "Ирхидей"</t>
  </si>
  <si>
    <t>3404104 Сельское поселение "Каха-Онгойское"</t>
  </si>
  <si>
    <t>3404105 Сельское поселение "Майск"</t>
  </si>
  <si>
    <t>3404106 Сельское поселение "Ново-Ленино"</t>
  </si>
  <si>
    <t>3404107 Сельское поселение "Обуса"</t>
  </si>
  <si>
    <t>3404108 Сельское поселение "Оса"</t>
  </si>
  <si>
    <t>3404109 Сельское поселение "Поселок Приморский"</t>
  </si>
  <si>
    <t>3404110 Сельское поселение "Русские Янгуты"</t>
  </si>
  <si>
    <t>3404111 Сельское поселение "Улейское"</t>
  </si>
  <si>
    <t>3404112 Сельское поселение "Усть-Алтан"</t>
  </si>
  <si>
    <t xml:space="preserve">3402401 Березняковское сельское поселение </t>
  </si>
  <si>
    <t>3402402 Брусничное сельское поселение</t>
  </si>
  <si>
    <t>3402403 Видимское городское поселение</t>
  </si>
  <si>
    <t>3402404 Дальнинское сельское поселение</t>
  </si>
  <si>
    <t>3402405 Железногорск-Илимское городское поселение</t>
  </si>
  <si>
    <t xml:space="preserve">3402406 Заморское сельское поселение </t>
  </si>
  <si>
    <t xml:space="preserve">3402407 Коршуновское сельское поселение </t>
  </si>
  <si>
    <t>3402408 Новоигирминское городское поселение</t>
  </si>
  <si>
    <t>3402409 Новоилимское сельское поселение</t>
  </si>
  <si>
    <t>3402410 Радищевское городское поселение</t>
  </si>
  <si>
    <t xml:space="preserve">3402411 Речушинское сельское поселение </t>
  </si>
  <si>
    <t>3402412 Рудногорское городское поселение</t>
  </si>
  <si>
    <t xml:space="preserve">3402413 Семигорское сельское поселение </t>
  </si>
  <si>
    <t xml:space="preserve">3402414 Соцгородское сельское поселение </t>
  </si>
  <si>
    <t>3402415 Хребтовское городское поселение</t>
  </si>
  <si>
    <t>3402416 Шестаковское городское поселение</t>
  </si>
  <si>
    <t>3402417 Янгелевское городское поселение</t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</si>
  <si>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культуры, физкультуры</t>
    </r>
  </si>
  <si>
    <t>Налоговые доходы</t>
  </si>
  <si>
    <t>ИНП</t>
  </si>
  <si>
    <t>ДОТАЦИЯ</t>
  </si>
  <si>
    <t>БО</t>
  </si>
  <si>
    <t>в расчете на 1 жителя</t>
  </si>
  <si>
    <t>содержание ОМСУ</t>
  </si>
  <si>
    <t>организация культуры</t>
  </si>
  <si>
    <t>дороги и благоустройство</t>
  </si>
  <si>
    <t>электро-, тепло-...</t>
  </si>
  <si>
    <t>С учетом весовых коэффициентов</t>
  </si>
  <si>
    <r>
      <t xml:space="preserve">Оценка расходов поселений на содержание </t>
    </r>
    <r>
      <rPr>
        <b/>
        <sz val="10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</si>
  <si>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</si>
  <si>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</t>
    </r>
    <r>
      <rPr>
        <sz val="10"/>
        <rFont val="Times New Roman"/>
        <family val="1"/>
        <charset val="204"/>
      </rPr>
      <t>...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</si>
  <si>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дорогам и благоустройству</t>
    </r>
  </si>
  <si>
    <t>Индекс расходов бюджета, ИБР</t>
  </si>
  <si>
    <t>РАСЧЕТ ИБР ДЛЯ ВЫРАВНИВАНИЯ ПОСЕЛЕНИЙ</t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</si>
  <si>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культуры, физкультуры</t>
    </r>
  </si>
  <si>
    <t>организация культуры, физкультуры</t>
  </si>
  <si>
    <r>
      <t>а</t>
    </r>
    <r>
      <rPr>
        <b/>
        <vertAlign val="subscript"/>
        <sz val="18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</si>
  <si>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rFont val="Times New Roman"/>
        <family val="1"/>
        <charset val="204"/>
      </rPr>
      <t>2</t>
    </r>
    <r>
      <rPr>
        <sz val="11"/>
        <color indexed="8"/>
        <rFont val="Calibri"/>
        <family val="2"/>
        <charset val="204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</si>
  <si>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3</t>
    </r>
    <r>
      <rPr>
        <sz val="11"/>
        <color indexed="8"/>
        <rFont val="Calibri"/>
        <family val="2"/>
        <charset val="204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</si>
  <si>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4</t>
    </r>
    <r>
      <rPr>
        <sz val="11"/>
        <color indexed="8"/>
        <rFont val="Calibri"/>
        <family val="2"/>
        <charset val="204"/>
      </rPr>
      <t/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</si>
  <si>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rFont val="Times New Roman"/>
        <family val="1"/>
        <charset val="204"/>
      </rPr>
      <t xml:space="preserve"> а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5</t>
    </r>
    <r>
      <rPr>
        <b/>
        <sz val="14"/>
        <rFont val="Times New Roman"/>
        <family val="1"/>
        <charset val="204"/>
      </rPr>
      <t>=1</t>
    </r>
  </si>
  <si>
    <r>
      <t>а</t>
    </r>
    <r>
      <rPr>
        <b/>
        <vertAlign val="subscript"/>
        <sz val="18"/>
        <rFont val="Times New Roman"/>
        <family val="1"/>
        <charset val="204"/>
      </rPr>
      <t>5</t>
    </r>
  </si>
  <si>
    <t>софинансирование</t>
  </si>
  <si>
    <r>
      <t>ИБР=А1×К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ОМСУ</t>
    </r>
    <r>
      <rPr>
        <b/>
        <sz val="20"/>
        <rFont val="Times New Roman"/>
        <family val="1"/>
        <charset val="204"/>
      </rPr>
      <t>+А2×К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КУЛ</t>
    </r>
    <r>
      <rPr>
        <b/>
        <sz val="20"/>
        <rFont val="Times New Roman"/>
        <family val="1"/>
        <charset val="204"/>
      </rPr>
      <t>+А3×К</t>
    </r>
    <r>
      <rPr>
        <b/>
        <vertAlign val="superscript"/>
        <sz val="20"/>
        <rFont val="Times New Roman"/>
        <family val="1"/>
        <charset val="204"/>
      </rPr>
      <t>iДОР</t>
    </r>
    <r>
      <rPr>
        <b/>
        <sz val="20"/>
        <rFont val="Times New Roman"/>
        <family val="1"/>
        <charset val="204"/>
      </rPr>
      <t>+А4×К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ЖКУ</t>
    </r>
    <r>
      <rPr>
        <b/>
        <sz val="20"/>
        <rFont val="Times New Roman"/>
        <family val="1"/>
        <charset val="204"/>
      </rPr>
      <t>+А5×К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СОФ</t>
    </r>
  </si>
  <si>
    <t>РАСЧЕТ ДОТАЦИИ НА ВЫРАВНИВАНИЕ БЮДЖЕТНОЙ ОБЕСПЕЧЕННОСТИ ПОСЕЛЕНИЙ</t>
  </si>
  <si>
    <t>РАСЧЕТ ИНДЕКСА БЮДЖЕТНЫХ РАСХОДОВ (ИБР) ДЛЯ ВЫРАВНИВАНИЯ ПОСЕЛЕНИЙ</t>
  </si>
  <si>
    <r>
      <t>Уровень бюджетной обеспеченности (БО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</t>
    </r>
  </si>
  <si>
    <t>Индекс налогового потенциала 
(ИНП)</t>
  </si>
  <si>
    <t>Индекс бюджетных расходов 
(ИБР)</t>
  </si>
  <si>
    <r>
      <t>Уровень бюджетной обеспеченности с учетом дотации на выравнивание бюджетной обеспеченности поселений из областного бюджета (БО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+1</t>
    </r>
    <r>
      <rPr>
        <sz val="10"/>
        <rFont val="Times New Roman"/>
        <family val="1"/>
        <charset val="204"/>
      </rPr>
      <t>)</t>
    </r>
  </si>
  <si>
    <r>
      <t>Дотация на выравнивание бюджетной обеспеченности поселений из областного бюджета (Д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ОБ</t>
    </r>
    <r>
      <rPr>
        <sz val="10"/>
        <rFont val="Times New Roman"/>
        <family val="1"/>
        <charset val="204"/>
      </rPr>
      <t>), тыс. рублей</t>
    </r>
  </si>
  <si>
    <t>РАСЧЕТ ИНП ДЛЯ ВЫРАВНИВАНИЯ БЮДЖЕТНОЙ ОБЕСПЕЧЕННОСТИ ПОСЕЛЕНИЙ ИЗ БЮДЖЕТА МУНИЦИПАЛЬНОГО РАЙОНА*</t>
  </si>
  <si>
    <t>Ячейки, выделенные цветом, заполняются районом самостоятельно</t>
  </si>
  <si>
    <r>
      <t>Прогнозируемый объем поступлений по j-му виду дохода в бюджеты всех городских и сельских поселений муниципального района (ПП</t>
    </r>
    <r>
      <rPr>
        <vertAlign val="superscript"/>
        <sz val="12"/>
        <rFont val="Arial"/>
        <family val="2"/>
      </rPr>
      <t>j</t>
    </r>
    <r>
      <rPr>
        <sz val="12"/>
        <rFont val="Arial"/>
        <family val="2"/>
      </rPr>
      <t>)</t>
    </r>
  </si>
  <si>
    <t>X</t>
  </si>
  <si>
    <t>№ п/п</t>
  </si>
  <si>
    <t>Наименование городского (сельского) поселения</t>
  </si>
  <si>
    <t>Численность постоянного населения i-го городского (сельского) поселения, чел.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</si>
  <si>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</si>
  <si>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</si>
  <si>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</si>
  <si>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</si>
  <si>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НПi</t>
  </si>
  <si>
    <t>Ki 
(расчитывается в соответствии с п.11 Приложения 9 к Закону Иркутской области от 22.10.2013 №74-оз)</t>
  </si>
  <si>
    <t>ИНПi</t>
  </si>
  <si>
    <r>
      <t>Н</t>
    </r>
    <r>
      <rPr>
        <vertAlign val="subscript"/>
        <sz val="10"/>
        <rFont val="Arial Cyr"/>
        <charset val="204"/>
      </rPr>
      <t>i</t>
    </r>
  </si>
  <si>
    <t>на 01.01.2019</t>
  </si>
  <si>
    <t>2017
(поступления)</t>
  </si>
  <si>
    <t>2018
(поступления)</t>
  </si>
  <si>
    <t>1 полугодие 2019 
(поступления)</t>
  </si>
  <si>
    <t>2017
(начисления)</t>
  </si>
  <si>
    <t>2018
(начисления)</t>
  </si>
  <si>
    <t>1 полугодие 2019
(начисления)</t>
  </si>
  <si>
    <t>* в случае отсутствия возможности расчета индекса налогового потенциала i-го городского (сельского) поселения его значение принимается равным 1 (п.8 приложения 9 к Закону Иркутской области от 22.10.2013 №74-ОЗ).</t>
  </si>
  <si>
    <t>Бычкова Марина Сергеевна, 25-63-33</t>
  </si>
  <si>
    <t>расчетная сумма налоговых доходов по всем ГСП МР (ПП)</t>
  </si>
  <si>
    <t>Численность постоянного населения, человек
(Н)</t>
  </si>
  <si>
    <r>
      <t>БО</t>
    </r>
    <r>
      <rPr>
        <b/>
        <vertAlign val="superscript"/>
        <sz val="10"/>
        <rFont val="Times New Roman"/>
        <family val="1"/>
        <charset val="204"/>
      </rPr>
      <t>max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</si>
  <si>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</si>
  <si>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на софинансирование по другим направлениям</t>
    </r>
  </si>
  <si>
    <r>
      <t xml:space="preserve">Ячейка </t>
    </r>
    <r>
      <rPr>
        <b/>
        <sz val="10"/>
        <color indexed="10"/>
        <rFont val="Times New Roman"/>
        <family val="1"/>
        <charset val="204"/>
      </rPr>
      <t>I6</t>
    </r>
    <r>
      <rPr>
        <sz val="10"/>
        <rFont val="Times New Roman"/>
        <family val="1"/>
        <charset val="204"/>
      </rPr>
      <t xml:space="preserve"> должна быть равна общему распределяемому объему дотаций с учетом субсидии из ОБ. Для этого подбираем ячейку </t>
    </r>
    <r>
      <rPr>
        <b/>
        <sz val="10"/>
        <color indexed="10"/>
        <rFont val="Times New Roman"/>
        <family val="1"/>
        <charset val="204"/>
      </rPr>
      <t>I3</t>
    </r>
  </si>
  <si>
    <t>Бильчир</t>
  </si>
  <si>
    <t>Бурят-Янгуты</t>
  </si>
  <si>
    <t>Ирхидей</t>
  </si>
  <si>
    <t>Каха-Онгойское</t>
  </si>
  <si>
    <t>Майск</t>
  </si>
  <si>
    <t>Ново-Ленино</t>
  </si>
  <si>
    <t>Обуса</t>
  </si>
  <si>
    <t>Оса</t>
  </si>
  <si>
    <t>П. Приморский</t>
  </si>
  <si>
    <t>Русские-Янгуты</t>
  </si>
  <si>
    <t>Улейское</t>
  </si>
  <si>
    <t>Усть-Алтан</t>
  </si>
  <si>
    <t>ИМБТ</t>
  </si>
  <si>
    <t>ИТОГО 2019</t>
  </si>
  <si>
    <t>отклонение</t>
  </si>
  <si>
    <t>ИТОГО 2020</t>
  </si>
  <si>
    <t>«Бурят-Янгуты»</t>
  </si>
  <si>
    <t>«Ирхидей»</t>
  </si>
  <si>
    <t>«Каха-Онгойское»</t>
  </si>
  <si>
    <t xml:space="preserve"> «Майск»</t>
  </si>
  <si>
    <t xml:space="preserve"> «Ново-Ленино»</t>
  </si>
  <si>
    <t>«Обуса»</t>
  </si>
  <si>
    <t>«Поселок Приморский»</t>
  </si>
  <si>
    <t xml:space="preserve"> «Русские Янгуты»</t>
  </si>
  <si>
    <t>«Улейское»</t>
  </si>
  <si>
    <t xml:space="preserve"> «Усть-Алтан»</t>
  </si>
  <si>
    <t>Ячейка I6 должна быть равна общему распределяемому объему дотаций с учетом субсидии из ОБ. Для этого подбираем ячейку I3</t>
  </si>
  <si>
    <t>область</t>
  </si>
  <si>
    <t>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</si>
</sst>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#,##0.000"/>
    <numFmt numFmtId="166" formatCode="\$#,##0\ ;\(\$#,##0\)"/>
    <numFmt numFmtId="167" formatCode="0.0000"/>
    <numFmt numFmtId="168" formatCode="#,##0.0000_ ;[Red]\-#,##0.0000\ "/>
    <numFmt numFmtId="169" formatCode="0.0"/>
    <numFmt numFmtId="170" formatCode="#,##0.0"/>
    <numFmt numFmtId="171" formatCode="0.0000000000000"/>
    <numFmt numFmtId="172" formatCode="_-* #,##0.0_р_._-;\-* #,##0.0_р_._-;_-* &quot;-&quot;??_р_._-;_-@_-"/>
    <numFmt numFmtId="173" formatCode="0.000000"/>
    <numFmt numFmtId="174" formatCode="#,##0.0000"/>
    <numFmt numFmtId="175" formatCode="#,##0.0000000"/>
    <numFmt numFmtId="176" formatCode="#,##0.000000000"/>
    <numFmt numFmtId="177" formatCode="0.0000000000"/>
  </numFmts>
  <fonts count="84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indexed="12"/>
      <name val="Times New Roman"/>
      <family val="1"/>
      <charset val="204"/>
    </font>
    <font>
      <b/>
      <vertAlign val="subscript"/>
      <sz val="20"/>
      <color indexed="12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vertAlign val="superscript"/>
      <sz val="20"/>
      <color indexed="10"/>
      <name val="Times New Roman"/>
      <family val="1"/>
      <charset val="204"/>
    </font>
    <font>
      <b/>
      <sz val="18"/>
      <color indexed="12"/>
      <name val="Times New Roman"/>
      <family val="1"/>
      <charset val="204"/>
    </font>
    <font>
      <b/>
      <vertAlign val="subscript"/>
      <sz val="18"/>
      <color indexed="12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vertAlign val="subscript"/>
      <sz val="14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vertAlign val="subscript"/>
      <sz val="2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vertAlign val="subscript"/>
      <sz val="10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Times New Roman"/>
      <family val="1"/>
      <charset val="204"/>
    </font>
    <font>
      <sz val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4" fillId="0" borderId="0"/>
    <xf numFmtId="0" fontId="2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8" applyNumberFormat="0" applyAlignment="0" applyProtection="0"/>
    <xf numFmtId="0" fontId="29" fillId="20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1" borderId="2" applyNumberFormat="0" applyAlignment="0" applyProtection="0"/>
    <xf numFmtId="0" fontId="2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/>
    <xf numFmtId="0" fontId="6" fillId="0" borderId="0"/>
    <xf numFmtId="0" fontId="6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8" fillId="0" borderId="6" applyNumberFormat="0" applyFill="0" applyAlignment="0" applyProtection="0"/>
    <xf numFmtId="0" fontId="7" fillId="0" borderId="0"/>
    <xf numFmtId="0" fontId="3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12">
    <xf numFmtId="0" fontId="0" fillId="0" borderId="0" xfId="0"/>
    <xf numFmtId="0" fontId="42" fillId="0" borderId="0" xfId="65" applyFont="1" applyFill="1"/>
    <xf numFmtId="1" fontId="42" fillId="0" borderId="10" xfId="65" applyNumberFormat="1" applyFont="1" applyFill="1" applyBorder="1" applyAlignment="1">
      <alignment horizontal="center" vertical="center" wrapText="1"/>
    </xf>
    <xf numFmtId="49" fontId="42" fillId="0" borderId="10" xfId="65" applyNumberFormat="1" applyFont="1" applyFill="1" applyBorder="1" applyAlignment="1" applyProtection="1">
      <alignment horizontal="center" vertical="center" wrapText="1"/>
    </xf>
    <xf numFmtId="49" fontId="42" fillId="0" borderId="10" xfId="65" applyNumberFormat="1" applyFont="1" applyFill="1" applyBorder="1" applyAlignment="1">
      <alignment horizontal="center" vertical="center" wrapText="1"/>
    </xf>
    <xf numFmtId="0" fontId="42" fillId="0" borderId="0" xfId="65" applyFont="1" applyFill="1" applyAlignment="1">
      <alignment horizontal="center" vertical="center" wrapText="1"/>
    </xf>
    <xf numFmtId="0" fontId="43" fillId="0" borderId="0" xfId="65" applyFont="1" applyFill="1" applyAlignment="1">
      <alignment wrapText="1"/>
    </xf>
    <xf numFmtId="0" fontId="43" fillId="0" borderId="0" xfId="65" applyFont="1" applyFill="1" applyAlignment="1">
      <alignment horizontal="center" wrapText="1"/>
    </xf>
    <xf numFmtId="0" fontId="42" fillId="0" borderId="0" xfId="65" applyFont="1" applyFill="1" applyAlignment="1">
      <alignment horizontal="center"/>
    </xf>
    <xf numFmtId="0" fontId="43" fillId="0" borderId="0" xfId="65" applyFont="1" applyFill="1"/>
    <xf numFmtId="0" fontId="41" fillId="0" borderId="0" xfId="65" applyFont="1" applyFill="1" applyBorder="1" applyAlignment="1">
      <alignment horizontal="center"/>
    </xf>
    <xf numFmtId="0" fontId="42" fillId="0" borderId="0" xfId="65" applyFont="1" applyFill="1" applyBorder="1"/>
    <xf numFmtId="0" fontId="51" fillId="0" borderId="11" xfId="65" applyFont="1" applyFill="1" applyBorder="1" applyAlignment="1">
      <alignment horizontal="center"/>
    </xf>
    <xf numFmtId="0" fontId="43" fillId="0" borderId="0" xfId="65" applyFont="1" applyFill="1" applyBorder="1" applyAlignment="1">
      <alignment horizontal="center"/>
    </xf>
    <xf numFmtId="0" fontId="42" fillId="0" borderId="0" xfId="65" applyFont="1" applyFill="1" applyBorder="1" applyAlignment="1">
      <alignment horizontal="center"/>
    </xf>
    <xf numFmtId="49" fontId="43" fillId="24" borderId="10" xfId="65" applyNumberFormat="1" applyFont="1" applyFill="1" applyBorder="1" applyAlignment="1">
      <alignment horizontal="center" vertical="center" wrapText="1"/>
    </xf>
    <xf numFmtId="165" fontId="44" fillId="25" borderId="12" xfId="65" applyNumberFormat="1" applyFont="1" applyFill="1" applyBorder="1" applyAlignment="1">
      <alignment horizontal="center"/>
    </xf>
    <xf numFmtId="165" fontId="44" fillId="0" borderId="12" xfId="65" applyNumberFormat="1" applyFont="1" applyFill="1" applyBorder="1" applyAlignment="1">
      <alignment horizontal="center"/>
    </xf>
    <xf numFmtId="49" fontId="54" fillId="0" borderId="10" xfId="65" applyNumberFormat="1" applyFont="1" applyFill="1" applyBorder="1" applyAlignment="1">
      <alignment horizontal="center" vertical="center" wrapText="1"/>
    </xf>
    <xf numFmtId="0" fontId="53" fillId="0" borderId="0" xfId="65" applyFont="1" applyFill="1" applyBorder="1" applyAlignment="1">
      <alignment shrinkToFit="1"/>
    </xf>
    <xf numFmtId="3" fontId="45" fillId="0" borderId="10" xfId="64" applyNumberFormat="1" applyFont="1" applyFill="1" applyBorder="1" applyAlignment="1" applyProtection="1">
      <alignment horizontal="center" shrinkToFit="1"/>
    </xf>
    <xf numFmtId="49" fontId="43" fillId="0" borderId="10" xfId="65" applyNumberFormat="1" applyFont="1" applyFill="1" applyBorder="1" applyAlignment="1">
      <alignment horizontal="left" vertical="center" shrinkToFit="1"/>
    </xf>
    <xf numFmtId="3" fontId="43" fillId="0" borderId="10" xfId="65" applyNumberFormat="1" applyFont="1" applyFill="1" applyBorder="1" applyAlignment="1">
      <alignment horizontal="right" shrinkToFit="1"/>
    </xf>
    <xf numFmtId="3" fontId="43" fillId="0" borderId="10" xfId="65" applyNumberFormat="1" applyFont="1" applyFill="1" applyBorder="1" applyAlignment="1">
      <alignment shrinkToFit="1"/>
    </xf>
    <xf numFmtId="3" fontId="43" fillId="24" borderId="10" xfId="65" applyNumberFormat="1" applyFont="1" applyFill="1" applyBorder="1" applyAlignment="1">
      <alignment horizontal="right" shrinkToFit="1"/>
    </xf>
    <xf numFmtId="0" fontId="42" fillId="0" borderId="10" xfId="91" applyNumberFormat="1" applyFont="1" applyFill="1" applyBorder="1" applyAlignment="1">
      <alignment horizontal="center" vertical="center" shrinkToFit="1"/>
    </xf>
    <xf numFmtId="0" fontId="42" fillId="25" borderId="10" xfId="65" applyNumberFormat="1" applyFont="1" applyFill="1" applyBorder="1" applyAlignment="1">
      <alignment horizontal="left" shrinkToFit="1"/>
    </xf>
    <xf numFmtId="3" fontId="42" fillId="25" borderId="10" xfId="65" applyNumberFormat="1" applyFont="1" applyFill="1" applyBorder="1" applyAlignment="1">
      <alignment shrinkToFit="1"/>
    </xf>
    <xf numFmtId="3" fontId="42" fillId="25" borderId="10" xfId="65" applyNumberFormat="1" applyFont="1" applyFill="1" applyBorder="1" applyAlignment="1" applyProtection="1">
      <alignment shrinkToFit="1"/>
    </xf>
    <xf numFmtId="167" fontId="43" fillId="24" borderId="10" xfId="65" applyNumberFormat="1" applyFont="1" applyFill="1" applyBorder="1" applyAlignment="1">
      <alignment horizontal="right" shrinkToFit="1"/>
    </xf>
    <xf numFmtId="169" fontId="43" fillId="0" borderId="0" xfId="65" applyNumberFormat="1" applyFont="1" applyFill="1" applyAlignment="1">
      <alignment horizontal="center" wrapText="1"/>
    </xf>
    <xf numFmtId="0" fontId="58" fillId="0" borderId="0" xfId="65" applyFont="1" applyFill="1" applyAlignment="1">
      <alignment wrapText="1" shrinkToFit="1"/>
    </xf>
    <xf numFmtId="0" fontId="58" fillId="0" borderId="0" xfId="65" applyFont="1" applyFill="1" applyBorder="1" applyAlignment="1">
      <alignment wrapText="1" shrinkToFit="1"/>
    </xf>
    <xf numFmtId="0" fontId="58" fillId="0" borderId="0" xfId="65" applyFont="1" applyFill="1" applyBorder="1" applyAlignment="1">
      <alignment horizontal="center" wrapText="1" shrinkToFit="1"/>
    </xf>
    <xf numFmtId="49" fontId="58" fillId="0" borderId="10" xfId="65" applyNumberFormat="1" applyFont="1" applyFill="1" applyBorder="1" applyAlignment="1">
      <alignment horizontal="center" vertical="center" wrapText="1" shrinkToFit="1"/>
    </xf>
    <xf numFmtId="3" fontId="59" fillId="0" borderId="10" xfId="65" applyNumberFormat="1" applyFont="1" applyFill="1" applyBorder="1" applyAlignment="1">
      <alignment wrapText="1" shrinkToFit="1"/>
    </xf>
    <xf numFmtId="3" fontId="58" fillId="0" borderId="10" xfId="65" applyNumberFormat="1" applyFont="1" applyFill="1" applyBorder="1" applyAlignment="1" applyProtection="1">
      <alignment wrapText="1" shrinkToFit="1"/>
    </xf>
    <xf numFmtId="4" fontId="58" fillId="0" borderId="10" xfId="65" applyNumberFormat="1" applyFont="1" applyFill="1" applyBorder="1" applyAlignment="1" applyProtection="1">
      <alignment wrapText="1" shrinkToFit="1"/>
    </xf>
    <xf numFmtId="4" fontId="59" fillId="0" borderId="10" xfId="65" applyNumberFormat="1" applyFont="1" applyFill="1" applyBorder="1" applyAlignment="1" applyProtection="1">
      <alignment wrapText="1" shrinkToFit="1"/>
    </xf>
    <xf numFmtId="4" fontId="59" fillId="0" borderId="10" xfId="65" applyNumberFormat="1" applyFont="1" applyFill="1" applyBorder="1" applyAlignment="1">
      <alignment wrapText="1" shrinkToFit="1"/>
    </xf>
    <xf numFmtId="0" fontId="58" fillId="0" borderId="0" xfId="65" applyFont="1" applyFill="1" applyAlignment="1">
      <alignment horizontal="center" vertical="center" wrapText="1"/>
    </xf>
    <xf numFmtId="49" fontId="58" fillId="0" borderId="10" xfId="65" applyNumberFormat="1" applyFont="1" applyFill="1" applyBorder="1" applyAlignment="1">
      <alignment horizontal="center" vertical="center" wrapText="1"/>
    </xf>
    <xf numFmtId="3" fontId="60" fillId="0" borderId="10" xfId="64" applyNumberFormat="1" applyFont="1" applyFill="1" applyBorder="1" applyAlignment="1" applyProtection="1">
      <alignment horizontal="center" shrinkToFit="1"/>
    </xf>
    <xf numFmtId="49" fontId="59" fillId="0" borderId="10" xfId="65" applyNumberFormat="1" applyFont="1" applyFill="1" applyBorder="1" applyAlignment="1">
      <alignment horizontal="left" vertical="center" shrinkToFit="1"/>
    </xf>
    <xf numFmtId="3" fontId="59" fillId="0" borderId="10" xfId="65" applyNumberFormat="1" applyFont="1" applyFill="1" applyBorder="1" applyAlignment="1">
      <alignment horizontal="right" shrinkToFit="1"/>
    </xf>
    <xf numFmtId="9" fontId="59" fillId="0" borderId="10" xfId="96" applyFont="1" applyFill="1" applyBorder="1" applyAlignment="1">
      <alignment shrinkToFit="1"/>
    </xf>
    <xf numFmtId="3" fontId="59" fillId="24" borderId="10" xfId="65" applyNumberFormat="1" applyFont="1" applyFill="1" applyBorder="1" applyAlignment="1">
      <alignment horizontal="right" shrinkToFit="1"/>
    </xf>
    <xf numFmtId="0" fontId="59" fillId="0" borderId="0" xfId="65" applyFont="1" applyFill="1" applyAlignment="1">
      <alignment wrapText="1"/>
    </xf>
    <xf numFmtId="168" fontId="58" fillId="0" borderId="0" xfId="65" applyNumberFormat="1" applyFont="1" applyFill="1" applyAlignment="1">
      <alignment horizontal="right" wrapText="1"/>
    </xf>
    <xf numFmtId="0" fontId="58" fillId="0" borderId="10" xfId="91" applyNumberFormat="1" applyFont="1" applyFill="1" applyBorder="1" applyAlignment="1">
      <alignment horizontal="center" vertical="center" shrinkToFit="1"/>
    </xf>
    <xf numFmtId="9" fontId="58" fillId="0" borderId="10" xfId="96" applyFont="1" applyFill="1" applyBorder="1" applyAlignment="1" applyProtection="1">
      <alignment shrinkToFit="1"/>
    </xf>
    <xf numFmtId="169" fontId="59" fillId="0" borderId="0" xfId="65" applyNumberFormat="1" applyFont="1" applyFill="1" applyAlignment="1">
      <alignment horizontal="center" wrapText="1"/>
    </xf>
    <xf numFmtId="0" fontId="59" fillId="0" borderId="0" xfId="65" applyFont="1" applyFill="1" applyAlignment="1">
      <alignment horizontal="center" wrapText="1"/>
    </xf>
    <xf numFmtId="170" fontId="58" fillId="0" borderId="10" xfId="65" applyNumberFormat="1" applyFont="1" applyFill="1" applyBorder="1" applyAlignment="1" applyProtection="1">
      <alignment shrinkToFit="1"/>
    </xf>
    <xf numFmtId="2" fontId="59" fillId="24" borderId="10" xfId="65" applyNumberFormat="1" applyFont="1" applyFill="1" applyBorder="1" applyAlignment="1">
      <alignment horizontal="right" shrinkToFit="1"/>
    </xf>
    <xf numFmtId="0" fontId="61" fillId="0" borderId="0" xfId="65" applyFont="1" applyFill="1" applyBorder="1" applyAlignment="1">
      <alignment horizontal="center"/>
    </xf>
    <xf numFmtId="170" fontId="59" fillId="0" borderId="10" xfId="65" applyNumberFormat="1" applyFont="1" applyFill="1" applyBorder="1" applyAlignment="1">
      <alignment shrinkToFit="1"/>
    </xf>
    <xf numFmtId="165" fontId="44" fillId="25" borderId="12" xfId="65" applyNumberFormat="1" applyFont="1" applyFill="1" applyBorder="1" applyAlignment="1" applyProtection="1">
      <alignment horizontal="center"/>
      <protection locked="0"/>
    </xf>
    <xf numFmtId="0" fontId="58" fillId="25" borderId="10" xfId="65" applyNumberFormat="1" applyFont="1" applyFill="1" applyBorder="1" applyAlignment="1" applyProtection="1">
      <alignment horizontal="left" shrinkToFit="1"/>
      <protection locked="0"/>
    </xf>
    <xf numFmtId="3" fontId="58" fillId="25" borderId="10" xfId="65" applyNumberFormat="1" applyFont="1" applyFill="1" applyBorder="1" applyAlignment="1" applyProtection="1">
      <alignment shrinkToFit="1"/>
      <protection locked="0"/>
    </xf>
    <xf numFmtId="0" fontId="63" fillId="0" borderId="11" xfId="65" applyFont="1" applyFill="1" applyBorder="1" applyAlignment="1">
      <alignment horizontal="center"/>
    </xf>
    <xf numFmtId="165" fontId="43" fillId="26" borderId="12" xfId="65" applyNumberFormat="1" applyFont="1" applyFill="1" applyBorder="1" applyAlignment="1" applyProtection="1">
      <alignment horizontal="center"/>
      <protection locked="0"/>
    </xf>
    <xf numFmtId="165" fontId="43" fillId="0" borderId="12" xfId="65" applyNumberFormat="1" applyFont="1" applyFill="1" applyBorder="1" applyAlignment="1">
      <alignment horizontal="center"/>
    </xf>
    <xf numFmtId="0" fontId="58" fillId="26" borderId="10" xfId="65" applyNumberFormat="1" applyFont="1" applyFill="1" applyBorder="1" applyAlignment="1" applyProtection="1">
      <alignment horizontal="left" shrinkToFit="1"/>
      <protection locked="0"/>
    </xf>
    <xf numFmtId="3" fontId="58" fillId="26" borderId="10" xfId="65" applyNumberFormat="1" applyFont="1" applyFill="1" applyBorder="1" applyAlignment="1" applyProtection="1">
      <alignment shrinkToFit="1"/>
      <protection locked="0"/>
    </xf>
    <xf numFmtId="2" fontId="59" fillId="0" borderId="0" xfId="65" applyNumberFormat="1" applyFont="1" applyFill="1" applyAlignment="1">
      <alignment horizontal="center" wrapText="1"/>
    </xf>
    <xf numFmtId="0" fontId="63" fillId="0" borderId="0" xfId="65" applyFont="1" applyFill="1" applyBorder="1" applyAlignment="1">
      <alignment horizontal="center"/>
    </xf>
    <xf numFmtId="165" fontId="43" fillId="0" borderId="0" xfId="65" applyNumberFormat="1" applyFont="1" applyFill="1" applyBorder="1" applyAlignment="1">
      <alignment horizontal="center"/>
    </xf>
    <xf numFmtId="0" fontId="62" fillId="0" borderId="0" xfId="65" applyFont="1" applyFill="1" applyAlignment="1"/>
    <xf numFmtId="0" fontId="70" fillId="27" borderId="0" xfId="90" applyFont="1" applyFill="1" applyBorder="1" applyAlignment="1">
      <alignment vertical="center"/>
    </xf>
    <xf numFmtId="0" fontId="61" fillId="27" borderId="0" xfId="90" applyFont="1" applyFill="1" applyAlignment="1">
      <alignment horizontal="center" vertical="center" wrapText="1"/>
    </xf>
    <xf numFmtId="0" fontId="6" fillId="27" borderId="0" xfId="90" applyFill="1" applyBorder="1" applyAlignment="1">
      <alignment vertical="center"/>
    </xf>
    <xf numFmtId="0" fontId="6" fillId="27" borderId="10" xfId="90" applyFont="1" applyFill="1" applyBorder="1" applyAlignment="1">
      <alignment horizontal="center" vertical="center"/>
    </xf>
    <xf numFmtId="3" fontId="6" fillId="26" borderId="10" xfId="90" applyNumberFormat="1" applyFill="1" applyBorder="1" applyAlignment="1">
      <alignment vertical="center"/>
    </xf>
    <xf numFmtId="0" fontId="73" fillId="27" borderId="0" xfId="90" applyFont="1" applyFill="1" applyBorder="1" applyAlignment="1">
      <alignment horizontal="left" vertical="center"/>
    </xf>
    <xf numFmtId="0" fontId="6" fillId="27" borderId="0" xfId="90" applyFill="1" applyBorder="1" applyAlignment="1">
      <alignment horizontal="center" vertical="center"/>
    </xf>
    <xf numFmtId="0" fontId="74" fillId="27" borderId="0" xfId="90" applyFont="1" applyFill="1" applyBorder="1" applyAlignment="1">
      <alignment vertical="center"/>
    </xf>
    <xf numFmtId="2" fontId="74" fillId="27" borderId="0" xfId="90" applyNumberFormat="1" applyFont="1" applyFill="1" applyBorder="1" applyAlignment="1">
      <alignment vertical="center"/>
    </xf>
    <xf numFmtId="0" fontId="41" fillId="27" borderId="0" xfId="90" applyFont="1" applyFill="1" applyBorder="1" applyAlignment="1">
      <alignment horizontal="right" vertical="center"/>
    </xf>
    <xf numFmtId="0" fontId="70" fillId="27" borderId="13" xfId="90" applyFont="1" applyFill="1" applyBorder="1" applyAlignment="1">
      <alignment horizontal="center" vertical="center" wrapText="1"/>
    </xf>
    <xf numFmtId="0" fontId="74" fillId="27" borderId="13" xfId="90" applyFont="1" applyFill="1" applyBorder="1" applyAlignment="1">
      <alignment horizontal="center" vertical="center" wrapText="1"/>
    </xf>
    <xf numFmtId="0" fontId="76" fillId="27" borderId="14" xfId="90" applyFont="1" applyFill="1" applyBorder="1" applyAlignment="1">
      <alignment horizontal="center" vertical="center"/>
    </xf>
    <xf numFmtId="0" fontId="76" fillId="27" borderId="10" xfId="90" applyFont="1" applyFill="1" applyBorder="1" applyAlignment="1">
      <alignment horizontal="center" vertical="center"/>
    </xf>
    <xf numFmtId="0" fontId="74" fillId="27" borderId="14" xfId="90" applyFont="1" applyFill="1" applyBorder="1" applyAlignment="1">
      <alignment horizontal="center" vertical="center" wrapText="1"/>
    </xf>
    <xf numFmtId="0" fontId="74" fillId="27" borderId="10" xfId="90" applyFont="1" applyFill="1" applyBorder="1" applyAlignment="1">
      <alignment horizontal="center" vertical="center" wrapText="1"/>
    </xf>
    <xf numFmtId="0" fontId="6" fillId="27" borderId="10" xfId="90" applyFont="1" applyFill="1" applyBorder="1" applyAlignment="1">
      <alignment horizontal="center" vertical="center" wrapText="1"/>
    </xf>
    <xf numFmtId="0" fontId="6" fillId="27" borderId="15" xfId="90" applyFont="1" applyFill="1" applyBorder="1" applyAlignment="1">
      <alignment horizontal="center" vertical="center"/>
    </xf>
    <xf numFmtId="0" fontId="6" fillId="27" borderId="16" xfId="90" applyFont="1" applyFill="1" applyBorder="1" applyAlignment="1">
      <alignment horizontal="center" vertical="center"/>
    </xf>
    <xf numFmtId="0" fontId="78" fillId="27" borderId="10" xfId="90" applyFont="1" applyFill="1" applyBorder="1" applyAlignment="1">
      <alignment horizontal="center" vertical="center" wrapText="1"/>
    </xf>
    <xf numFmtId="3" fontId="78" fillId="27" borderId="13" xfId="90" applyNumberFormat="1" applyFont="1" applyFill="1" applyBorder="1" applyAlignment="1">
      <alignment horizontal="center" vertical="center" wrapText="1"/>
    </xf>
    <xf numFmtId="3" fontId="78" fillId="27" borderId="17" xfId="90" applyNumberFormat="1" applyFont="1" applyFill="1" applyBorder="1" applyAlignment="1">
      <alignment horizontal="center" vertical="center" wrapText="1"/>
    </xf>
    <xf numFmtId="3" fontId="78" fillId="27" borderId="15" xfId="90" applyNumberFormat="1" applyFont="1" applyFill="1" applyBorder="1" applyAlignment="1">
      <alignment horizontal="center" vertical="center" wrapText="1"/>
    </xf>
    <xf numFmtId="3" fontId="78" fillId="27" borderId="18" xfId="90" applyNumberFormat="1" applyFont="1" applyFill="1" applyBorder="1" applyAlignment="1">
      <alignment horizontal="center" vertical="center" wrapText="1"/>
    </xf>
    <xf numFmtId="0" fontId="78" fillId="27" borderId="10" xfId="90" applyFont="1" applyFill="1" applyBorder="1" applyAlignment="1">
      <alignment horizontal="center" vertical="center"/>
    </xf>
    <xf numFmtId="0" fontId="78" fillId="27" borderId="0" xfId="90" applyFont="1" applyFill="1" applyBorder="1" applyAlignment="1">
      <alignment vertical="center"/>
    </xf>
    <xf numFmtId="0" fontId="79" fillId="0" borderId="10" xfId="90" applyNumberFormat="1" applyFont="1" applyFill="1" applyBorder="1" applyAlignment="1" applyProtection="1">
      <alignment horizontal="center"/>
    </xf>
    <xf numFmtId="0" fontId="42" fillId="0" borderId="10" xfId="90" applyNumberFormat="1" applyFont="1" applyFill="1" applyBorder="1" applyAlignment="1" applyProtection="1">
      <alignment horizontal="left" wrapText="1"/>
    </xf>
    <xf numFmtId="3" fontId="74" fillId="26" borderId="13" xfId="90" applyNumberFormat="1" applyFont="1" applyFill="1" applyBorder="1" applyAlignment="1">
      <alignment vertical="center"/>
    </xf>
    <xf numFmtId="3" fontId="74" fillId="26" borderId="14" xfId="90" applyNumberFormat="1" applyFont="1" applyFill="1" applyBorder="1" applyAlignment="1">
      <alignment vertical="center"/>
    </xf>
    <xf numFmtId="3" fontId="74" fillId="26" borderId="10" xfId="90" applyNumberFormat="1" applyFont="1" applyFill="1" applyBorder="1" applyAlignment="1">
      <alignment vertical="center"/>
    </xf>
    <xf numFmtId="3" fontId="6" fillId="27" borderId="10" xfId="90" applyNumberFormat="1" applyFill="1" applyBorder="1" applyAlignment="1">
      <alignment vertical="center"/>
    </xf>
    <xf numFmtId="3" fontId="6" fillId="27" borderId="15" xfId="90" applyNumberFormat="1" applyFill="1" applyBorder="1" applyAlignment="1">
      <alignment vertical="center"/>
    </xf>
    <xf numFmtId="3" fontId="74" fillId="27" borderId="10" xfId="90" applyNumberFormat="1" applyFont="1" applyFill="1" applyBorder="1" applyAlignment="1">
      <alignment vertical="center"/>
    </xf>
    <xf numFmtId="3" fontId="74" fillId="27" borderId="15" xfId="90" applyNumberFormat="1" applyFont="1" applyFill="1" applyBorder="1" applyAlignment="1">
      <alignment vertical="center"/>
    </xf>
    <xf numFmtId="0" fontId="6" fillId="27" borderId="10" xfId="90" applyFill="1" applyBorder="1" applyAlignment="1">
      <alignment vertical="center"/>
    </xf>
    <xf numFmtId="3" fontId="6" fillId="27" borderId="16" xfId="90" applyNumberFormat="1" applyFill="1" applyBorder="1" applyAlignment="1">
      <alignment vertical="center"/>
    </xf>
    <xf numFmtId="171" fontId="6" fillId="27" borderId="0" xfId="90" applyNumberFormat="1" applyFill="1" applyBorder="1" applyAlignment="1">
      <alignment vertical="center"/>
    </xf>
    <xf numFmtId="0" fontId="71" fillId="27" borderId="0" xfId="90" applyFont="1" applyFill="1" applyBorder="1" applyAlignment="1">
      <alignment horizontal="left" vertical="center"/>
    </xf>
    <xf numFmtId="3" fontId="6" fillId="27" borderId="0" xfId="90" applyNumberFormat="1" applyFill="1" applyBorder="1" applyAlignment="1">
      <alignment vertical="center"/>
    </xf>
    <xf numFmtId="3" fontId="74" fillId="27" borderId="0" xfId="90" applyNumberFormat="1" applyFont="1" applyFill="1" applyBorder="1" applyAlignment="1">
      <alignment vertical="center"/>
    </xf>
    <xf numFmtId="0" fontId="80" fillId="27" borderId="0" xfId="90" applyFont="1" applyFill="1" applyBorder="1" applyAlignment="1">
      <alignment horizontal="left" vertical="center"/>
    </xf>
    <xf numFmtId="172" fontId="74" fillId="27" borderId="0" xfId="90" applyNumberFormat="1" applyFont="1" applyFill="1" applyBorder="1" applyAlignment="1">
      <alignment vertical="center"/>
    </xf>
    <xf numFmtId="173" fontId="74" fillId="27" borderId="0" xfId="90" applyNumberFormat="1" applyFont="1" applyFill="1" applyBorder="1" applyAlignment="1">
      <alignment vertical="center"/>
    </xf>
    <xf numFmtId="4" fontId="74" fillId="27" borderId="0" xfId="90" applyNumberFormat="1" applyFont="1" applyFill="1" applyBorder="1" applyAlignment="1">
      <alignment vertical="center"/>
    </xf>
    <xf numFmtId="0" fontId="81" fillId="27" borderId="0" xfId="90" applyFont="1" applyFill="1" applyBorder="1" applyAlignment="1">
      <alignment horizontal="left" vertical="center"/>
    </xf>
    <xf numFmtId="3" fontId="58" fillId="27" borderId="10" xfId="65" applyNumberFormat="1" applyFont="1" applyFill="1" applyBorder="1" applyAlignment="1" applyProtection="1">
      <alignment shrinkToFit="1"/>
      <protection locked="0"/>
    </xf>
    <xf numFmtId="0" fontId="62" fillId="27" borderId="0" xfId="90" applyFont="1" applyFill="1" applyAlignment="1">
      <alignment horizontal="center" vertical="center" wrapText="1"/>
    </xf>
    <xf numFmtId="0" fontId="59" fillId="0" borderId="0" xfId="0" applyFont="1" applyAlignment="1">
      <alignment horizontal="right"/>
    </xf>
    <xf numFmtId="3" fontId="59" fillId="0" borderId="10" xfId="65" applyNumberFormat="1" applyFont="1" applyFill="1" applyBorder="1" applyAlignment="1">
      <alignment horizontal="center" shrinkToFit="1"/>
    </xf>
    <xf numFmtId="0" fontId="58" fillId="0" borderId="0" xfId="0" applyFont="1"/>
    <xf numFmtId="0" fontId="58" fillId="26" borderId="10" xfId="0" applyFont="1" applyFill="1" applyBorder="1"/>
    <xf numFmtId="175" fontId="58" fillId="27" borderId="10" xfId="65" applyNumberFormat="1" applyFont="1" applyFill="1" applyBorder="1" applyAlignment="1" applyProtection="1">
      <alignment shrinkToFit="1"/>
      <protection locked="0"/>
    </xf>
    <xf numFmtId="176" fontId="58" fillId="27" borderId="10" xfId="65" applyNumberFormat="1" applyFont="1" applyFill="1" applyBorder="1" applyAlignment="1" applyProtection="1">
      <alignment shrinkToFit="1"/>
      <protection locked="0"/>
    </xf>
    <xf numFmtId="170" fontId="59" fillId="25" borderId="10" xfId="65" applyNumberFormat="1" applyFont="1" applyFill="1" applyBorder="1" applyAlignment="1">
      <alignment horizontal="center" shrinkToFit="1"/>
    </xf>
    <xf numFmtId="3" fontId="0" fillId="0" borderId="0" xfId="0" applyNumberFormat="1"/>
    <xf numFmtId="174" fontId="6" fillId="26" borderId="10" xfId="90" applyNumberFormat="1" applyFill="1" applyBorder="1" applyAlignment="1">
      <alignment vertical="center"/>
    </xf>
    <xf numFmtId="0" fontId="58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/>
    <xf numFmtId="0" fontId="58" fillId="0" borderId="10" xfId="0" applyFont="1" applyBorder="1" applyAlignment="1">
      <alignment wrapText="1"/>
    </xf>
    <xf numFmtId="0" fontId="58" fillId="0" borderId="19" xfId="0" applyFont="1" applyBorder="1"/>
    <xf numFmtId="170" fontId="58" fillId="0" borderId="10" xfId="0" applyNumberFormat="1" applyFont="1" applyBorder="1"/>
    <xf numFmtId="0" fontId="58" fillId="0" borderId="19" xfId="0" applyFont="1" applyBorder="1" applyAlignment="1">
      <alignment horizontal="center" vertical="center"/>
    </xf>
    <xf numFmtId="169" fontId="58" fillId="0" borderId="0" xfId="0" applyNumberFormat="1" applyFont="1" applyAlignment="1">
      <alignment horizontal="center"/>
    </xf>
    <xf numFmtId="0" fontId="58" fillId="0" borderId="10" xfId="0" applyFont="1" applyBorder="1" applyAlignment="1">
      <alignment vertical="center" wrapText="1"/>
    </xf>
    <xf numFmtId="49" fontId="59" fillId="0" borderId="10" xfId="65" applyNumberFormat="1" applyFont="1" applyFill="1" applyBorder="1" applyAlignment="1">
      <alignment horizontal="center" vertical="center" shrinkToFit="1"/>
    </xf>
    <xf numFmtId="170" fontId="58" fillId="0" borderId="0" xfId="0" applyNumberFormat="1" applyFont="1"/>
    <xf numFmtId="0" fontId="59" fillId="0" borderId="19" xfId="0" applyFont="1" applyBorder="1" applyAlignment="1">
      <alignment horizontal="center" vertical="center"/>
    </xf>
    <xf numFmtId="0" fontId="59" fillId="0" borderId="19" xfId="0" applyFont="1" applyBorder="1"/>
    <xf numFmtId="0" fontId="59" fillId="0" borderId="10" xfId="0" applyFont="1" applyBorder="1"/>
    <xf numFmtId="170" fontId="59" fillId="27" borderId="10" xfId="65" applyNumberFormat="1" applyFont="1" applyFill="1" applyBorder="1" applyAlignment="1" applyProtection="1">
      <alignment shrinkToFit="1"/>
      <protection locked="0"/>
    </xf>
    <xf numFmtId="169" fontId="58" fillId="0" borderId="0" xfId="0" applyNumberFormat="1" applyFont="1"/>
    <xf numFmtId="177" fontId="6" fillId="27" borderId="10" xfId="90" applyNumberFormat="1" applyFill="1" applyBorder="1" applyAlignment="1">
      <alignment vertical="center"/>
    </xf>
    <xf numFmtId="170" fontId="58" fillId="0" borderId="10" xfId="0" applyNumberFormat="1" applyFont="1" applyFill="1" applyBorder="1"/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wrapText="1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0" fontId="58" fillId="0" borderId="0" xfId="0" applyFont="1" applyBorder="1"/>
    <xf numFmtId="0" fontId="59" fillId="0" borderId="0" xfId="0" applyFont="1" applyBorder="1"/>
    <xf numFmtId="170" fontId="58" fillId="0" borderId="0" xfId="0" applyNumberFormat="1" applyFont="1" applyBorder="1"/>
    <xf numFmtId="170" fontId="58" fillId="0" borderId="0" xfId="0" applyNumberFormat="1" applyFont="1" applyFill="1" applyBorder="1"/>
    <xf numFmtId="169" fontId="58" fillId="0" borderId="0" xfId="0" applyNumberFormat="1" applyFont="1" applyBorder="1"/>
    <xf numFmtId="0" fontId="58" fillId="0" borderId="20" xfId="0" applyFont="1" applyBorder="1" applyAlignment="1">
      <alignment horizontal="center"/>
    </xf>
    <xf numFmtId="2" fontId="58" fillId="0" borderId="0" xfId="0" applyNumberFormat="1" applyFont="1" applyBorder="1"/>
    <xf numFmtId="165" fontId="59" fillId="27" borderId="10" xfId="65" applyNumberFormat="1" applyFont="1" applyFill="1" applyBorder="1" applyAlignment="1" applyProtection="1">
      <alignment shrinkToFit="1"/>
      <protection locked="0"/>
    </xf>
    <xf numFmtId="0" fontId="46" fillId="26" borderId="0" xfId="65" applyFont="1" applyFill="1" applyBorder="1" applyAlignment="1">
      <alignment horizontal="center"/>
    </xf>
    <xf numFmtId="1" fontId="58" fillId="28" borderId="21" xfId="65" applyNumberFormat="1" applyFont="1" applyFill="1" applyBorder="1" applyAlignment="1">
      <alignment horizontal="center" vertical="center" wrapText="1"/>
    </xf>
    <xf numFmtId="0" fontId="58" fillId="26" borderId="0" xfId="0" applyFont="1" applyFill="1" applyBorder="1"/>
    <xf numFmtId="1" fontId="58" fillId="28" borderId="0" xfId="65" applyNumberFormat="1" applyFont="1" applyFill="1" applyBorder="1" applyAlignment="1">
      <alignment horizontal="center" vertical="center" wrapText="1"/>
    </xf>
    <xf numFmtId="170" fontId="59" fillId="27" borderId="0" xfId="65" applyNumberFormat="1" applyFont="1" applyFill="1" applyBorder="1" applyAlignment="1" applyProtection="1">
      <alignment shrinkToFit="1"/>
      <protection locked="0"/>
    </xf>
    <xf numFmtId="4" fontId="59" fillId="27" borderId="10" xfId="65" applyNumberFormat="1" applyFont="1" applyFill="1" applyBorder="1" applyAlignment="1" applyProtection="1">
      <alignment shrinkToFit="1"/>
      <protection locked="0"/>
    </xf>
    <xf numFmtId="170" fontId="58" fillId="29" borderId="0" xfId="0" applyNumberFormat="1" applyFont="1" applyFill="1"/>
    <xf numFmtId="0" fontId="73" fillId="27" borderId="10" xfId="90" applyFont="1" applyFill="1" applyBorder="1" applyAlignment="1">
      <alignment horizontal="center" vertical="center"/>
    </xf>
    <xf numFmtId="3" fontId="6" fillId="27" borderId="10" xfId="90" applyNumberFormat="1" applyFill="1" applyBorder="1" applyAlignment="1">
      <alignment horizontal="center" vertical="center"/>
    </xf>
    <xf numFmtId="0" fontId="75" fillId="27" borderId="10" xfId="90" applyFont="1" applyFill="1" applyBorder="1" applyAlignment="1">
      <alignment horizontal="center" vertical="center" wrapText="1"/>
    </xf>
    <xf numFmtId="0" fontId="76" fillId="27" borderId="23" xfId="90" applyFont="1" applyFill="1" applyBorder="1" applyAlignment="1">
      <alignment horizontal="center" vertical="center"/>
    </xf>
    <xf numFmtId="0" fontId="76" fillId="27" borderId="24" xfId="90" applyFont="1" applyFill="1" applyBorder="1" applyAlignment="1">
      <alignment horizontal="center" vertical="center"/>
    </xf>
    <xf numFmtId="0" fontId="76" fillId="27" borderId="25" xfId="90" applyFont="1" applyFill="1" applyBorder="1" applyAlignment="1">
      <alignment horizontal="center" vertical="center"/>
    </xf>
    <xf numFmtId="0" fontId="70" fillId="0" borderId="10" xfId="90" applyFont="1" applyFill="1" applyBorder="1" applyAlignment="1">
      <alignment horizontal="center" vertical="center" wrapText="1"/>
    </xf>
    <xf numFmtId="0" fontId="76" fillId="27" borderId="13" xfId="90" applyFont="1" applyFill="1" applyBorder="1" applyAlignment="1">
      <alignment horizontal="center" vertical="center"/>
    </xf>
    <xf numFmtId="0" fontId="76" fillId="27" borderId="18" xfId="90" applyFont="1" applyFill="1" applyBorder="1" applyAlignment="1">
      <alignment horizontal="center" vertical="center"/>
    </xf>
    <xf numFmtId="0" fontId="76" fillId="27" borderId="26" xfId="90" applyFont="1" applyFill="1" applyBorder="1" applyAlignment="1">
      <alignment horizontal="center" vertical="center"/>
    </xf>
    <xf numFmtId="0" fontId="70" fillId="27" borderId="27" xfId="90" applyFont="1" applyFill="1" applyBorder="1" applyAlignment="1">
      <alignment horizontal="center" vertical="center" wrapText="1"/>
    </xf>
    <xf numFmtId="0" fontId="70" fillId="27" borderId="28" xfId="90" applyFont="1" applyFill="1" applyBorder="1" applyAlignment="1">
      <alignment horizontal="center" vertical="center" wrapText="1"/>
    </xf>
    <xf numFmtId="0" fontId="70" fillId="27" borderId="22" xfId="90" applyFont="1" applyFill="1" applyBorder="1" applyAlignment="1">
      <alignment horizontal="center" vertical="center" wrapText="1"/>
    </xf>
    <xf numFmtId="0" fontId="70" fillId="27" borderId="29" xfId="90" applyFont="1" applyFill="1" applyBorder="1" applyAlignment="1">
      <alignment horizontal="center" vertical="center" wrapText="1"/>
    </xf>
    <xf numFmtId="0" fontId="70" fillId="27" borderId="30" xfId="90" applyFont="1" applyFill="1" applyBorder="1" applyAlignment="1">
      <alignment horizontal="center" vertical="center" wrapText="1"/>
    </xf>
    <xf numFmtId="0" fontId="70" fillId="27" borderId="31" xfId="90" applyFont="1" applyFill="1" applyBorder="1" applyAlignment="1">
      <alignment horizontal="center" vertical="center" wrapText="1"/>
    </xf>
    <xf numFmtId="0" fontId="62" fillId="27" borderId="0" xfId="90" applyFont="1" applyFill="1" applyAlignment="1">
      <alignment horizontal="center" vertical="center" wrapText="1"/>
    </xf>
    <xf numFmtId="0" fontId="71" fillId="27" borderId="10" xfId="90" applyFont="1" applyFill="1" applyBorder="1" applyAlignment="1">
      <alignment horizontal="left" vertical="center" wrapText="1"/>
    </xf>
    <xf numFmtId="0" fontId="61" fillId="27" borderId="0" xfId="90" applyFont="1" applyFill="1" applyBorder="1" applyAlignment="1">
      <alignment horizontal="center" vertical="center" wrapText="1"/>
    </xf>
    <xf numFmtId="0" fontId="61" fillId="27" borderId="32" xfId="90" applyFont="1" applyFill="1" applyBorder="1" applyAlignment="1">
      <alignment horizontal="center" vertical="center" wrapText="1"/>
    </xf>
    <xf numFmtId="0" fontId="61" fillId="27" borderId="30" xfId="90" applyFont="1" applyFill="1" applyBorder="1" applyAlignment="1">
      <alignment horizontal="center" vertical="center" wrapText="1"/>
    </xf>
    <xf numFmtId="0" fontId="61" fillId="27" borderId="31" xfId="90" applyFont="1" applyFill="1" applyBorder="1" applyAlignment="1">
      <alignment horizontal="center" vertical="center" wrapText="1"/>
    </xf>
    <xf numFmtId="0" fontId="63" fillId="26" borderId="0" xfId="90" applyFont="1" applyFill="1" applyAlignment="1">
      <alignment horizontal="center" vertical="center" wrapText="1"/>
    </xf>
    <xf numFmtId="3" fontId="74" fillId="27" borderId="10" xfId="90" applyNumberFormat="1" applyFont="1" applyFill="1" applyBorder="1" applyAlignment="1">
      <alignment horizontal="center" vertical="center"/>
    </xf>
    <xf numFmtId="0" fontId="6" fillId="27" borderId="10" xfId="90" applyFill="1" applyBorder="1" applyAlignment="1">
      <alignment horizontal="center" vertical="center"/>
    </xf>
    <xf numFmtId="1" fontId="58" fillId="0" borderId="19" xfId="65" applyNumberFormat="1" applyFont="1" applyFill="1" applyBorder="1" applyAlignment="1">
      <alignment horizontal="center" vertical="center" wrapText="1"/>
    </xf>
    <xf numFmtId="1" fontId="58" fillId="0" borderId="21" xfId="65" applyNumberFormat="1" applyFont="1" applyFill="1" applyBorder="1" applyAlignment="1">
      <alignment horizontal="center" vertical="center" wrapText="1"/>
    </xf>
    <xf numFmtId="0" fontId="58" fillId="0" borderId="13" xfId="65" applyFont="1" applyFill="1" applyBorder="1" applyAlignment="1">
      <alignment horizontal="center" vertical="center" wrapText="1"/>
    </xf>
    <xf numFmtId="0" fontId="58" fillId="0" borderId="18" xfId="65" applyFont="1" applyFill="1" applyBorder="1" applyAlignment="1">
      <alignment horizontal="center" vertical="center" wrapText="1"/>
    </xf>
    <xf numFmtId="0" fontId="58" fillId="0" borderId="16" xfId="65" applyFont="1" applyFill="1" applyBorder="1" applyAlignment="1">
      <alignment horizontal="center" vertical="center" wrapText="1"/>
    </xf>
    <xf numFmtId="49" fontId="58" fillId="0" borderId="13" xfId="65" applyNumberFormat="1" applyFont="1" applyFill="1" applyBorder="1" applyAlignment="1">
      <alignment horizontal="center" vertical="center" wrapText="1"/>
    </xf>
    <xf numFmtId="49" fontId="58" fillId="0" borderId="18" xfId="65" applyNumberFormat="1" applyFont="1" applyFill="1" applyBorder="1" applyAlignment="1">
      <alignment horizontal="center" vertical="center" wrapText="1"/>
    </xf>
    <xf numFmtId="49" fontId="58" fillId="0" borderId="16" xfId="65" applyNumberFormat="1" applyFont="1" applyFill="1" applyBorder="1" applyAlignment="1">
      <alignment horizontal="center" vertical="center" wrapText="1"/>
    </xf>
    <xf numFmtId="0" fontId="41" fillId="0" borderId="0" xfId="65" applyFont="1" applyFill="1" applyBorder="1" applyAlignment="1">
      <alignment horizontal="center" wrapText="1"/>
    </xf>
    <xf numFmtId="0" fontId="62" fillId="0" borderId="0" xfId="65" applyFont="1" applyFill="1" applyAlignment="1">
      <alignment horizontal="center"/>
    </xf>
    <xf numFmtId="0" fontId="46" fillId="26" borderId="0" xfId="65" applyFont="1" applyFill="1" applyBorder="1" applyAlignment="1">
      <alignment horizontal="center"/>
    </xf>
    <xf numFmtId="49" fontId="59" fillId="24" borderId="10" xfId="65" applyNumberFormat="1" applyFont="1" applyFill="1" applyBorder="1" applyAlignment="1">
      <alignment horizontal="center" vertical="center" wrapText="1"/>
    </xf>
    <xf numFmtId="1" fontId="58" fillId="28" borderId="33" xfId="65" applyNumberFormat="1" applyFont="1" applyFill="1" applyBorder="1" applyAlignment="1">
      <alignment horizontal="center" vertical="center" wrapText="1"/>
    </xf>
    <xf numFmtId="1" fontId="58" fillId="28" borderId="29" xfId="65" applyNumberFormat="1" applyFont="1" applyFill="1" applyBorder="1" applyAlignment="1">
      <alignment horizontal="center" vertical="center" wrapText="1"/>
    </xf>
    <xf numFmtId="1" fontId="58" fillId="28" borderId="19" xfId="65" applyNumberFormat="1" applyFont="1" applyFill="1" applyBorder="1" applyAlignment="1">
      <alignment horizontal="center" vertical="center" wrapText="1"/>
    </xf>
    <xf numFmtId="1" fontId="58" fillId="28" borderId="21" xfId="65" applyNumberFormat="1" applyFont="1" applyFill="1" applyBorder="1" applyAlignment="1">
      <alignment horizontal="center" vertical="center" wrapText="1"/>
    </xf>
    <xf numFmtId="1" fontId="58" fillId="27" borderId="19" xfId="65" applyNumberFormat="1" applyFont="1" applyFill="1" applyBorder="1" applyAlignment="1">
      <alignment horizontal="center" vertical="center" wrapText="1"/>
    </xf>
    <xf numFmtId="1" fontId="58" fillId="27" borderId="21" xfId="65" applyNumberFormat="1" applyFont="1" applyFill="1" applyBorder="1" applyAlignment="1">
      <alignment horizontal="center" vertical="center" wrapText="1"/>
    </xf>
    <xf numFmtId="0" fontId="47" fillId="0" borderId="0" xfId="65" applyFont="1" applyFill="1" applyAlignment="1">
      <alignment horizontal="center"/>
    </xf>
    <xf numFmtId="0" fontId="46" fillId="25" borderId="0" xfId="65" applyFont="1" applyFill="1" applyBorder="1" applyAlignment="1">
      <alignment horizontal="center"/>
    </xf>
    <xf numFmtId="0" fontId="58" fillId="0" borderId="10" xfId="65" applyFont="1" applyFill="1" applyBorder="1" applyAlignment="1">
      <alignment horizontal="center" vertical="center" wrapText="1"/>
    </xf>
    <xf numFmtId="49" fontId="59" fillId="24" borderId="19" xfId="65" applyNumberFormat="1" applyFont="1" applyFill="1" applyBorder="1" applyAlignment="1">
      <alignment horizontal="center" vertical="center" wrapText="1"/>
    </xf>
    <xf numFmtId="49" fontId="59" fillId="24" borderId="21" xfId="65" applyNumberFormat="1" applyFont="1" applyFill="1" applyBorder="1" applyAlignment="1">
      <alignment horizontal="center" vertical="center" wrapText="1"/>
    </xf>
  </cellXfs>
  <cellStyles count="10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 2" xfId="46"/>
    <cellStyle name="Comma 2 2" xfId="47"/>
    <cellStyle name="Comma0" xfId="48"/>
    <cellStyle name="Currency0" xfId="49"/>
    <cellStyle name="Date" xfId="50"/>
    <cellStyle name="Explanatory Text" xfId="51"/>
    <cellStyle name="Fixe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_Alexander's Tables" xfId="63"/>
    <cellStyle name="Normal_own-reg-rev" xfId="64"/>
    <cellStyle name="Normal_ФФПМР_ИБР_Ставрополь_2006 4" xfId="65"/>
    <cellStyle name="Note" xfId="66"/>
    <cellStyle name="Note 2" xfId="67"/>
    <cellStyle name="Output" xfId="68"/>
    <cellStyle name="Title" xfId="69"/>
    <cellStyle name="Total" xfId="70"/>
    <cellStyle name="Warning Text" xfId="71"/>
    <cellStyle name="Акцент1 2" xfId="72"/>
    <cellStyle name="Акцент2 2" xfId="73"/>
    <cellStyle name="Акцент3 2" xfId="74"/>
    <cellStyle name="Акцент4 2" xfId="75"/>
    <cellStyle name="Акцент5 2" xfId="76"/>
    <cellStyle name="Акцент6 2" xfId="77"/>
    <cellStyle name="Ввод  2" xfId="78"/>
    <cellStyle name="Вывод 2" xfId="79"/>
    <cellStyle name="Вычисление 2" xfId="80"/>
    <cellStyle name="Заголовок 1 2" xfId="81"/>
    <cellStyle name="Заголовок 2 2" xfId="82"/>
    <cellStyle name="Заголовок 3 2" xfId="83"/>
    <cellStyle name="Заголовок 4 2" xfId="84"/>
    <cellStyle name="Итог 2" xfId="85"/>
    <cellStyle name="Контрольная ячейка 2" xfId="86"/>
    <cellStyle name="Название 2" xfId="87"/>
    <cellStyle name="Нейтральный 2" xfId="88"/>
    <cellStyle name="Обычный" xfId="0" builtinId="0"/>
    <cellStyle name="Обычный 2" xfId="89"/>
    <cellStyle name="Обычный 3" xfId="90"/>
    <cellStyle name="Обычный_ИНП МР и П 2011 ( УСН 50% НДПИ 25%)" xfId="91"/>
    <cellStyle name="Плохой 2" xfId="92"/>
    <cellStyle name="Пояснение 2" xfId="93"/>
    <cellStyle name="Примечание 2" xfId="94"/>
    <cellStyle name="Примечание 3" xfId="95"/>
    <cellStyle name="Процентный" xfId="96" builtinId="5"/>
    <cellStyle name="Процентный 2" xfId="97"/>
    <cellStyle name="Связанная ячейка 2" xfId="98"/>
    <cellStyle name="Стиль 1" xfId="99"/>
    <cellStyle name="Текст предупреждения 2" xfId="100"/>
    <cellStyle name="Финансовый 2" xfId="101"/>
    <cellStyle name="Хороший 2" xfId="10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202143</xdr:colOff>
      <xdr:row>11</xdr:row>
      <xdr:rowOff>52917</xdr:rowOff>
    </xdr:from>
    <xdr:ext cx="1007384" cy="1235986"/>
    <xdr:sp macro="" textlink="">
      <xdr:nvSpPr>
        <xdr:cNvPr id="2" name="TextBox 1"/>
        <xdr:cNvSpPr txBox="1"/>
      </xdr:nvSpPr>
      <xdr:spPr>
        <a:xfrm>
          <a:off x="7822143" y="4672542"/>
          <a:ext cx="611962" cy="2450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ru-RU" sz="1300" b="0" i="0">
              <a:latin typeface="Cambria Math" panose="02040503050406030204" pitchFamily="18" charset="0"/>
            </a:rPr>
            <a:t>〖НП〗_</a:t>
          </a:r>
          <a:r>
            <a:rPr lang="en-US" sz="1300" b="0" i="0">
              <a:latin typeface="Cambria Math" panose="02040503050406030204" pitchFamily="18" charset="0"/>
            </a:rPr>
            <a:t>𝑖^</a:t>
          </a:r>
          <a:r>
            <a:rPr lang="ru-RU" sz="1300" b="0" i="0">
              <a:latin typeface="Cambria Math" panose="02040503050406030204" pitchFamily="18" charset="0"/>
            </a:rPr>
            <a:t>НДФЛ</a:t>
          </a:r>
          <a:endParaRPr lang="ru-RU" sz="1300"/>
        </a:p>
      </xdr:txBody>
    </xdr:sp>
    <xdr:clientData/>
  </xdr:oneCellAnchor>
  <xdr:oneCellAnchor>
    <xdr:from>
      <xdr:col>13</xdr:col>
      <xdr:colOff>232833</xdr:colOff>
      <xdr:row>11</xdr:row>
      <xdr:rowOff>63501</xdr:rowOff>
    </xdr:from>
    <xdr:ext cx="947877" cy="1240266"/>
    <xdr:sp macro="" textlink="">
      <xdr:nvSpPr>
        <xdr:cNvPr id="3" name="TextBox 2"/>
        <xdr:cNvSpPr txBox="1"/>
      </xdr:nvSpPr>
      <xdr:spPr>
        <a:xfrm>
          <a:off x="12939183" y="4683126"/>
          <a:ext cx="563039" cy="2194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ru-RU" sz="1300" b="0" i="0">
              <a:latin typeface="Cambria Math" panose="02040503050406030204" pitchFamily="18" charset="0"/>
            </a:rPr>
            <a:t>〖НП〗_</a:t>
          </a:r>
          <a:r>
            <a:rPr lang="en-US" sz="1300" b="0" i="0">
              <a:latin typeface="Cambria Math" panose="02040503050406030204" pitchFamily="18" charset="0"/>
            </a:rPr>
            <a:t>𝑖^</a:t>
          </a:r>
          <a:r>
            <a:rPr lang="ru-RU" sz="1300" b="0" i="0">
              <a:latin typeface="Cambria Math" panose="02040503050406030204" pitchFamily="18" charset="0"/>
            </a:rPr>
            <a:t>ЕСХН</a:t>
          </a:r>
          <a:endParaRPr lang="ru-RU" sz="1300"/>
        </a:p>
      </xdr:txBody>
    </xdr:sp>
    <xdr:clientData/>
  </xdr:oneCellAnchor>
  <xdr:oneCellAnchor>
    <xdr:from>
      <xdr:col>24</xdr:col>
      <xdr:colOff>178595</xdr:colOff>
      <xdr:row>11</xdr:row>
      <xdr:rowOff>83608</xdr:rowOff>
    </xdr:from>
    <xdr:ext cx="756140" cy="1230727"/>
    <xdr:sp macro="" textlink="">
      <xdr:nvSpPr>
        <xdr:cNvPr id="4" name="TextBox 3"/>
        <xdr:cNvSpPr txBox="1"/>
      </xdr:nvSpPr>
      <xdr:spPr>
        <a:xfrm>
          <a:off x="22619495" y="4693708"/>
          <a:ext cx="421141" cy="2194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ru-RU" sz="1300" b="0" i="0">
              <a:latin typeface="Cambria Math" panose="02040503050406030204" pitchFamily="18" charset="0"/>
            </a:rPr>
            <a:t>〖НП〗_</a:t>
          </a:r>
          <a:r>
            <a:rPr lang="en-US" sz="1300" b="0" i="0">
              <a:latin typeface="Cambria Math" panose="02040503050406030204" pitchFamily="18" charset="0"/>
            </a:rPr>
            <a:t>𝑖^</a:t>
          </a:r>
          <a:r>
            <a:rPr lang="ru-RU" sz="1300" b="0" i="0">
              <a:latin typeface="Cambria Math" panose="02040503050406030204" pitchFamily="18" charset="0"/>
            </a:rPr>
            <a:t>ЗН</a:t>
          </a:r>
          <a:endParaRPr lang="ru-RU" sz="1300"/>
        </a:p>
      </xdr:txBody>
    </xdr:sp>
    <xdr:clientData/>
  </xdr:oneCellAnchor>
  <xdr:oneCellAnchor>
    <xdr:from>
      <xdr:col>18</xdr:col>
      <xdr:colOff>148167</xdr:colOff>
      <xdr:row>11</xdr:row>
      <xdr:rowOff>84667</xdr:rowOff>
    </xdr:from>
    <xdr:ext cx="1001824" cy="1225330"/>
    <xdr:sp macro="" textlink="">
      <xdr:nvSpPr>
        <xdr:cNvPr id="5" name="TextBox 4"/>
        <xdr:cNvSpPr txBox="1"/>
      </xdr:nvSpPr>
      <xdr:spPr>
        <a:xfrm>
          <a:off x="17197917" y="4704292"/>
          <a:ext cx="616451" cy="2217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ru-RU" sz="1300" b="0" i="0">
              <a:latin typeface="Cambria Math" panose="02040503050406030204" pitchFamily="18" charset="0"/>
            </a:rPr>
            <a:t>〖НП〗_</a:t>
          </a:r>
          <a:r>
            <a:rPr lang="en-US" sz="1300" b="0" i="0">
              <a:latin typeface="Cambria Math" panose="02040503050406030204" pitchFamily="18" charset="0"/>
            </a:rPr>
            <a:t>𝑖^</a:t>
          </a:r>
          <a:r>
            <a:rPr lang="ru-RU" sz="1300" b="0" i="0">
              <a:latin typeface="Cambria Math" panose="02040503050406030204" pitchFamily="18" charset="0"/>
            </a:rPr>
            <a:t>НИФЛ</a:t>
          </a:r>
          <a:endParaRPr lang="ru-RU" sz="1300"/>
        </a:p>
      </xdr:txBody>
    </xdr:sp>
    <xdr:clientData/>
  </xdr:oneCellAnchor>
  <xdr:oneCellAnchor>
    <xdr:from>
      <xdr:col>3</xdr:col>
      <xdr:colOff>201084</xdr:colOff>
      <xdr:row>11</xdr:row>
      <xdr:rowOff>42332</xdr:rowOff>
    </xdr:from>
    <xdr:ext cx="1601796" cy="1235964"/>
    <xdr:sp macro="" textlink="">
      <xdr:nvSpPr>
        <xdr:cNvPr id="6" name="TextBox 5"/>
        <xdr:cNvSpPr txBox="1"/>
      </xdr:nvSpPr>
      <xdr:spPr>
        <a:xfrm>
          <a:off x="3982509" y="4661957"/>
          <a:ext cx="724622" cy="2694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300" b="0" i="0">
              <a:latin typeface="Cambria Math" panose="02040503050406030204" pitchFamily="18" charset="0"/>
            </a:rPr>
            <a:t>𝐾</a:t>
          </a:r>
          <a:r>
            <a:rPr lang="ru-RU" sz="1300" b="0" i="0">
              <a:latin typeface="Cambria Math" panose="02040503050406030204" pitchFamily="18" charset="0"/>
            </a:rPr>
            <a:t>_(пред.отч.,</a:t>
          </a:r>
          <a:r>
            <a:rPr lang="en-US" sz="1300" b="0" i="0">
              <a:latin typeface="Cambria Math" panose="02040503050406030204" pitchFamily="18" charset="0"/>
            </a:rPr>
            <a:t>𝑖</a:t>
          </a:r>
          <a:r>
            <a:rPr lang="ru-RU" sz="1300" b="0" i="0">
              <a:latin typeface="Cambria Math" panose="02040503050406030204" pitchFamily="18" charset="0"/>
            </a:rPr>
            <a:t>)</a:t>
          </a:r>
          <a:r>
            <a:rPr lang="en-US" sz="1300" b="0" i="0">
              <a:latin typeface="Cambria Math" panose="02040503050406030204" pitchFamily="18" charset="0"/>
            </a:rPr>
            <a:t>^</a:t>
          </a:r>
          <a:r>
            <a:rPr lang="ru-RU" sz="1300" b="0" i="0">
              <a:latin typeface="Cambria Math" panose="02040503050406030204" pitchFamily="18" charset="0"/>
            </a:rPr>
            <a:t>НДФЛ</a:t>
          </a:r>
          <a:endParaRPr lang="ru-RU" sz="1300"/>
        </a:p>
      </xdr:txBody>
    </xdr:sp>
    <xdr:clientData/>
  </xdr:oneCellAnchor>
  <xdr:oneCellAnchor>
    <xdr:from>
      <xdr:col>4</xdr:col>
      <xdr:colOff>158750</xdr:colOff>
      <xdr:row>11</xdr:row>
      <xdr:rowOff>63498</xdr:rowOff>
    </xdr:from>
    <xdr:ext cx="846665" cy="285751"/>
    <xdr:sp macro="" textlink="">
      <xdr:nvSpPr>
        <xdr:cNvPr id="7" name="TextBox 6"/>
        <xdr:cNvSpPr txBox="1"/>
      </xdr:nvSpPr>
      <xdr:spPr>
        <a:xfrm>
          <a:off x="4892675" y="4683123"/>
          <a:ext cx="846665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 sz="1300" b="0" i="0">
              <a:latin typeface="Cambria Math" panose="02040503050406030204" pitchFamily="18" charset="0"/>
            </a:rPr>
            <a:t>𝐾</a:t>
          </a:r>
          <a:r>
            <a:rPr lang="ru-RU" sz="1300" b="0" i="0">
              <a:latin typeface="Cambria Math" panose="02040503050406030204" pitchFamily="18" charset="0"/>
            </a:rPr>
            <a:t>_(отч.,</a:t>
          </a:r>
          <a:r>
            <a:rPr lang="en-US" sz="1300" b="0" i="0">
              <a:latin typeface="Cambria Math" panose="02040503050406030204" pitchFamily="18" charset="0"/>
            </a:rPr>
            <a:t>𝑖</a:t>
          </a:r>
          <a:r>
            <a:rPr lang="ru-RU" sz="1300" b="0" i="0">
              <a:latin typeface="Cambria Math" panose="02040503050406030204" pitchFamily="18" charset="0"/>
            </a:rPr>
            <a:t>)</a:t>
          </a:r>
          <a:r>
            <a:rPr lang="en-US" sz="1300" b="0" i="0">
              <a:latin typeface="Cambria Math" panose="02040503050406030204" pitchFamily="18" charset="0"/>
            </a:rPr>
            <a:t>^</a:t>
          </a:r>
          <a:r>
            <a:rPr lang="ru-RU" sz="1300" b="0" i="0">
              <a:latin typeface="Cambria Math" panose="02040503050406030204" pitchFamily="18" charset="0"/>
            </a:rPr>
            <a:t>НДФЛ</a:t>
          </a:r>
          <a:endParaRPr lang="ru-RU" sz="1300"/>
        </a:p>
      </xdr:txBody>
    </xdr:sp>
    <xdr:clientData/>
  </xdr:oneCellAnchor>
  <xdr:oneCellAnchor>
    <xdr:from>
      <xdr:col>5</xdr:col>
      <xdr:colOff>232833</xdr:colOff>
      <xdr:row>11</xdr:row>
      <xdr:rowOff>52916</xdr:rowOff>
    </xdr:from>
    <xdr:ext cx="1200000" cy="1234440"/>
    <xdr:sp macro="" textlink="">
      <xdr:nvSpPr>
        <xdr:cNvPr id="8" name="TextBox 7"/>
        <xdr:cNvSpPr txBox="1"/>
      </xdr:nvSpPr>
      <xdr:spPr>
        <a:xfrm>
          <a:off x="6052608" y="4672541"/>
          <a:ext cx="510204" cy="2603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300" b="0" i="0">
              <a:latin typeface="Cambria Math" panose="02040503050406030204" pitchFamily="18" charset="0"/>
            </a:rPr>
            <a:t>𝐾</a:t>
          </a:r>
          <a:r>
            <a:rPr lang="ru-RU" sz="1300" b="0" i="0">
              <a:latin typeface="Cambria Math" panose="02040503050406030204" pitchFamily="18" charset="0"/>
            </a:rPr>
            <a:t>_(тек.,</a:t>
          </a:r>
          <a:r>
            <a:rPr lang="en-US" sz="1300" b="0" i="0">
              <a:latin typeface="Cambria Math" panose="02040503050406030204" pitchFamily="18" charset="0"/>
            </a:rPr>
            <a:t>𝑖</a:t>
          </a:r>
          <a:r>
            <a:rPr lang="ru-RU" sz="1300" b="0" i="0">
              <a:latin typeface="Cambria Math" panose="02040503050406030204" pitchFamily="18" charset="0"/>
            </a:rPr>
            <a:t>)</a:t>
          </a:r>
          <a:r>
            <a:rPr lang="en-US" sz="1300" b="0" i="0">
              <a:latin typeface="Cambria Math" panose="02040503050406030204" pitchFamily="18" charset="0"/>
            </a:rPr>
            <a:t>^</a:t>
          </a:r>
          <a:r>
            <a:rPr lang="ru-RU" sz="1300" b="0" i="0">
              <a:latin typeface="Cambria Math" panose="02040503050406030204" pitchFamily="18" charset="0"/>
            </a:rPr>
            <a:t>НДФЛ</a:t>
          </a:r>
          <a:endParaRPr lang="ru-RU" sz="1300"/>
        </a:p>
      </xdr:txBody>
    </xdr:sp>
    <xdr:clientData/>
  </xdr:oneCellAnchor>
  <xdr:oneCellAnchor>
    <xdr:from>
      <xdr:col>7</xdr:col>
      <xdr:colOff>158751</xdr:colOff>
      <xdr:row>5</xdr:row>
      <xdr:rowOff>105832</xdr:rowOff>
    </xdr:from>
    <xdr:ext cx="592666" cy="214674"/>
    <xdr:sp macro="" textlink="">
      <xdr:nvSpPr>
        <xdr:cNvPr id="9" name="TextBox 8"/>
        <xdr:cNvSpPr txBox="1"/>
      </xdr:nvSpPr>
      <xdr:spPr>
        <a:xfrm>
          <a:off x="7769226" y="1791757"/>
          <a:ext cx="592666" cy="214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300" b="0" i="0">
              <a:latin typeface="Cambria Math" panose="02040503050406030204" pitchFamily="18" charset="0"/>
            </a:rPr>
            <a:t>〖</a:t>
          </a:r>
          <a:r>
            <a:rPr lang="ru-RU" sz="1300" b="0" i="0">
              <a:latin typeface="Cambria Math" panose="02040503050406030204" pitchFamily="18" charset="0"/>
            </a:rPr>
            <a:t>ПП</a:t>
          </a:r>
          <a:r>
            <a:rPr lang="en-US" sz="1300" b="0" i="0">
              <a:latin typeface="Cambria Math" panose="02040503050406030204" pitchFamily="18" charset="0"/>
            </a:rPr>
            <a:t>〗^</a:t>
          </a:r>
          <a:r>
            <a:rPr lang="ru-RU" sz="1300" b="0" i="0">
              <a:latin typeface="Cambria Math" panose="02040503050406030204" pitchFamily="18" charset="0"/>
            </a:rPr>
            <a:t>НДФЛ</a:t>
          </a:r>
          <a:endParaRPr lang="ru-RU" sz="1300"/>
        </a:p>
      </xdr:txBody>
    </xdr:sp>
    <xdr:clientData/>
  </xdr:oneCellAnchor>
  <xdr:oneCellAnchor>
    <xdr:from>
      <xdr:col>9</xdr:col>
      <xdr:colOff>106891</xdr:colOff>
      <xdr:row>11</xdr:row>
      <xdr:rowOff>63500</xdr:rowOff>
    </xdr:from>
    <xdr:ext cx="1529268" cy="1245981"/>
    <xdr:sp macro="" textlink="">
      <xdr:nvSpPr>
        <xdr:cNvPr id="10" name="TextBox 9"/>
        <xdr:cNvSpPr txBox="1"/>
      </xdr:nvSpPr>
      <xdr:spPr>
        <a:xfrm>
          <a:off x="9269941" y="4683125"/>
          <a:ext cx="716735" cy="2414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300" b="0" i="0">
              <a:latin typeface="Cambria Math" panose="02040503050406030204" pitchFamily="18" charset="0"/>
            </a:rPr>
            <a:t>𝐸</a:t>
          </a:r>
          <a:r>
            <a:rPr lang="ru-RU" sz="1300" b="0" i="0">
              <a:latin typeface="Cambria Math" panose="02040503050406030204" pitchFamily="18" charset="0"/>
            </a:rPr>
            <a:t>_(пред.отч.,</a:t>
          </a:r>
          <a:r>
            <a:rPr lang="en-US" sz="1300" b="0" i="0">
              <a:latin typeface="Cambria Math" panose="02040503050406030204" pitchFamily="18" charset="0"/>
            </a:rPr>
            <a:t>𝑖</a:t>
          </a:r>
          <a:r>
            <a:rPr lang="ru-RU" sz="1300" b="0" i="0">
              <a:latin typeface="Cambria Math" panose="02040503050406030204" pitchFamily="18" charset="0"/>
            </a:rPr>
            <a:t>)</a:t>
          </a:r>
          <a:r>
            <a:rPr lang="en-US" sz="1300" b="0" i="0">
              <a:latin typeface="Cambria Math" panose="02040503050406030204" pitchFamily="18" charset="0"/>
            </a:rPr>
            <a:t>^</a:t>
          </a:r>
          <a:r>
            <a:rPr lang="ru-RU" sz="1300" b="0" i="0">
              <a:latin typeface="Cambria Math" panose="02040503050406030204" pitchFamily="18" charset="0"/>
            </a:rPr>
            <a:t>ЕСХН</a:t>
          </a:r>
          <a:endParaRPr lang="ru-RU" sz="1300"/>
        </a:p>
      </xdr:txBody>
    </xdr:sp>
    <xdr:clientData/>
  </xdr:oneCellAnchor>
  <xdr:oneCellAnchor>
    <xdr:from>
      <xdr:col>10</xdr:col>
      <xdr:colOff>0</xdr:colOff>
      <xdr:row>11</xdr:row>
      <xdr:rowOff>63500</xdr:rowOff>
    </xdr:from>
    <xdr:ext cx="846665" cy="285751"/>
    <xdr:sp macro="" textlink="">
      <xdr:nvSpPr>
        <xdr:cNvPr id="11" name="TextBox 10"/>
        <xdr:cNvSpPr txBox="1"/>
      </xdr:nvSpPr>
      <xdr:spPr>
        <a:xfrm>
          <a:off x="10153650" y="4683125"/>
          <a:ext cx="846665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 sz="1300" b="0" i="0">
              <a:latin typeface="Cambria Math" panose="02040503050406030204" pitchFamily="18" charset="0"/>
            </a:rPr>
            <a:t>𝐸</a:t>
          </a:r>
          <a:r>
            <a:rPr lang="ru-RU" sz="1300" b="0" i="0">
              <a:latin typeface="Cambria Math" panose="02040503050406030204" pitchFamily="18" charset="0"/>
            </a:rPr>
            <a:t>_(отч.,</a:t>
          </a:r>
          <a:r>
            <a:rPr lang="en-US" sz="1300" b="0" i="0">
              <a:latin typeface="Cambria Math" panose="02040503050406030204" pitchFamily="18" charset="0"/>
            </a:rPr>
            <a:t>𝑖</a:t>
          </a:r>
          <a:r>
            <a:rPr lang="ru-RU" sz="1300" b="0" i="0">
              <a:latin typeface="Cambria Math" panose="02040503050406030204" pitchFamily="18" charset="0"/>
            </a:rPr>
            <a:t>)</a:t>
          </a:r>
          <a:r>
            <a:rPr lang="en-US" sz="1300" b="0" i="0">
              <a:latin typeface="Cambria Math" panose="02040503050406030204" pitchFamily="18" charset="0"/>
            </a:rPr>
            <a:t>^</a:t>
          </a:r>
          <a:r>
            <a:rPr lang="ru-RU" sz="1300" b="0" i="0">
              <a:latin typeface="Cambria Math" panose="02040503050406030204" pitchFamily="18" charset="0"/>
            </a:rPr>
            <a:t>ЕСХН</a:t>
          </a:r>
          <a:endParaRPr lang="ru-RU" sz="1300"/>
        </a:p>
      </xdr:txBody>
    </xdr:sp>
    <xdr:clientData/>
  </xdr:oneCellAnchor>
  <xdr:oneCellAnchor>
    <xdr:from>
      <xdr:col>11</xdr:col>
      <xdr:colOff>202142</xdr:colOff>
      <xdr:row>11</xdr:row>
      <xdr:rowOff>52917</xdr:rowOff>
    </xdr:from>
    <xdr:ext cx="1140904" cy="1229952"/>
    <xdr:sp macro="" textlink="">
      <xdr:nvSpPr>
        <xdr:cNvPr id="12" name="TextBox 11"/>
        <xdr:cNvSpPr txBox="1"/>
      </xdr:nvSpPr>
      <xdr:spPr>
        <a:xfrm>
          <a:off x="11251142" y="4672542"/>
          <a:ext cx="446854" cy="232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300" b="0" i="0">
              <a:latin typeface="Cambria Math" panose="02040503050406030204" pitchFamily="18" charset="0"/>
            </a:rPr>
            <a:t>𝐸</a:t>
          </a:r>
          <a:r>
            <a:rPr lang="ru-RU" sz="1300" b="0" i="0">
              <a:latin typeface="Cambria Math" panose="02040503050406030204" pitchFamily="18" charset="0"/>
            </a:rPr>
            <a:t>_(тек.,</a:t>
          </a:r>
          <a:r>
            <a:rPr lang="en-US" sz="1300" b="0" i="0">
              <a:latin typeface="Cambria Math" panose="02040503050406030204" pitchFamily="18" charset="0"/>
            </a:rPr>
            <a:t>𝑖</a:t>
          </a:r>
          <a:r>
            <a:rPr lang="ru-RU" sz="1300" b="0" i="0">
              <a:latin typeface="Cambria Math" panose="02040503050406030204" pitchFamily="18" charset="0"/>
            </a:rPr>
            <a:t>)</a:t>
          </a:r>
          <a:r>
            <a:rPr lang="en-US" sz="1300" b="0" i="0">
              <a:latin typeface="Cambria Math" panose="02040503050406030204" pitchFamily="18" charset="0"/>
            </a:rPr>
            <a:t>^</a:t>
          </a:r>
          <a:r>
            <a:rPr lang="ru-RU" sz="1300" b="0" i="0">
              <a:latin typeface="Cambria Math" panose="02040503050406030204" pitchFamily="18" charset="0"/>
            </a:rPr>
            <a:t>ЕСХН</a:t>
          </a:r>
          <a:endParaRPr lang="ru-RU" sz="1300"/>
        </a:p>
      </xdr:txBody>
    </xdr:sp>
    <xdr:clientData/>
  </xdr:oneCellAnchor>
  <xdr:oneCellAnchor>
    <xdr:from>
      <xdr:col>13</xdr:col>
      <xdr:colOff>95250</xdr:colOff>
      <xdr:row>5</xdr:row>
      <xdr:rowOff>116416</xdr:rowOff>
    </xdr:from>
    <xdr:ext cx="592666" cy="212302"/>
    <xdr:sp macro="" textlink="">
      <xdr:nvSpPr>
        <xdr:cNvPr id="13" name="TextBox 12"/>
        <xdr:cNvSpPr txBox="1"/>
      </xdr:nvSpPr>
      <xdr:spPr>
        <a:xfrm>
          <a:off x="12801600" y="1802341"/>
          <a:ext cx="592666" cy="2123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300" b="0" i="0">
              <a:latin typeface="Cambria Math" panose="02040503050406030204" pitchFamily="18" charset="0"/>
            </a:rPr>
            <a:t>〖</a:t>
          </a:r>
          <a:r>
            <a:rPr lang="ru-RU" sz="1300" b="0" i="0">
              <a:latin typeface="Cambria Math" panose="02040503050406030204" pitchFamily="18" charset="0"/>
            </a:rPr>
            <a:t>ПП</a:t>
          </a:r>
          <a:r>
            <a:rPr lang="en-US" sz="1300" b="0" i="0">
              <a:latin typeface="Cambria Math" panose="02040503050406030204" pitchFamily="18" charset="0"/>
            </a:rPr>
            <a:t>〗^</a:t>
          </a:r>
          <a:r>
            <a:rPr lang="ru-RU" sz="1300" b="0" i="0">
              <a:latin typeface="Cambria Math" panose="02040503050406030204" pitchFamily="18" charset="0"/>
            </a:rPr>
            <a:t>ЕСХН</a:t>
          </a:r>
          <a:endParaRPr lang="ru-RU" sz="1300"/>
        </a:p>
      </xdr:txBody>
    </xdr:sp>
    <xdr:clientData/>
  </xdr:oneCellAnchor>
  <xdr:oneCellAnchor>
    <xdr:from>
      <xdr:col>18</xdr:col>
      <xdr:colOff>95250</xdr:colOff>
      <xdr:row>5</xdr:row>
      <xdr:rowOff>116417</xdr:rowOff>
    </xdr:from>
    <xdr:ext cx="592666" cy="214674"/>
    <xdr:sp macro="" textlink="">
      <xdr:nvSpPr>
        <xdr:cNvPr id="14" name="TextBox 13"/>
        <xdr:cNvSpPr txBox="1"/>
      </xdr:nvSpPr>
      <xdr:spPr>
        <a:xfrm>
          <a:off x="17145000" y="1802342"/>
          <a:ext cx="592666" cy="214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300" b="0" i="0">
              <a:latin typeface="Cambria Math" panose="02040503050406030204" pitchFamily="18" charset="0"/>
            </a:rPr>
            <a:t>〖</a:t>
          </a:r>
          <a:r>
            <a:rPr lang="ru-RU" sz="1300" b="0" i="0">
              <a:latin typeface="Cambria Math" panose="02040503050406030204" pitchFamily="18" charset="0"/>
            </a:rPr>
            <a:t>ПП</a:t>
          </a:r>
          <a:r>
            <a:rPr lang="en-US" sz="1300" b="0" i="0">
              <a:latin typeface="Cambria Math" panose="02040503050406030204" pitchFamily="18" charset="0"/>
            </a:rPr>
            <a:t>〗^</a:t>
          </a:r>
          <a:r>
            <a:rPr lang="ru-RU" sz="1300" b="0" i="0">
              <a:latin typeface="Cambria Math" panose="02040503050406030204" pitchFamily="18" charset="0"/>
            </a:rPr>
            <a:t>НИФЛ</a:t>
          </a:r>
          <a:endParaRPr lang="ru-RU" sz="1300"/>
        </a:p>
      </xdr:txBody>
    </xdr:sp>
    <xdr:clientData/>
  </xdr:oneCellAnchor>
  <xdr:oneCellAnchor>
    <xdr:from>
      <xdr:col>24</xdr:col>
      <xdr:colOff>42333</xdr:colOff>
      <xdr:row>5</xdr:row>
      <xdr:rowOff>127000</xdr:rowOff>
    </xdr:from>
    <xdr:ext cx="592666" cy="212302"/>
    <xdr:sp macro="" textlink="">
      <xdr:nvSpPr>
        <xdr:cNvPr id="15" name="TextBox 14"/>
        <xdr:cNvSpPr txBox="1"/>
      </xdr:nvSpPr>
      <xdr:spPr>
        <a:xfrm>
          <a:off x="22483233" y="1812925"/>
          <a:ext cx="592666" cy="2123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300" b="0" i="0">
              <a:latin typeface="Cambria Math" panose="02040503050406030204" pitchFamily="18" charset="0"/>
            </a:rPr>
            <a:t>〖</a:t>
          </a:r>
          <a:r>
            <a:rPr lang="ru-RU" sz="1300" b="0" i="0">
              <a:latin typeface="Cambria Math" panose="02040503050406030204" pitchFamily="18" charset="0"/>
            </a:rPr>
            <a:t>ПП</a:t>
          </a:r>
          <a:r>
            <a:rPr lang="en-US" sz="1300" b="0" i="0">
              <a:latin typeface="Cambria Math" panose="02040503050406030204" pitchFamily="18" charset="0"/>
            </a:rPr>
            <a:t>〗^</a:t>
          </a:r>
          <a:r>
            <a:rPr lang="ru-RU" sz="1300" b="0" i="0">
              <a:latin typeface="Cambria Math" panose="02040503050406030204" pitchFamily="18" charset="0"/>
            </a:rPr>
            <a:t>ЗН</a:t>
          </a:r>
          <a:endParaRPr lang="ru-RU" sz="1300"/>
        </a:p>
      </xdr:txBody>
    </xdr:sp>
    <xdr:clientData/>
  </xdr:oneCellAnchor>
  <xdr:oneCellAnchor>
    <xdr:from>
      <xdr:col>15</xdr:col>
      <xdr:colOff>204787</xdr:colOff>
      <xdr:row>11</xdr:row>
      <xdr:rowOff>58209</xdr:rowOff>
    </xdr:from>
    <xdr:ext cx="1584362" cy="1228374"/>
    <xdr:sp macro="" textlink="">
      <xdr:nvSpPr>
        <xdr:cNvPr id="16" name="TextBox 15"/>
        <xdr:cNvSpPr txBox="1"/>
      </xdr:nvSpPr>
      <xdr:spPr>
        <a:xfrm>
          <a:off x="14463712" y="4677834"/>
          <a:ext cx="716735" cy="2437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300" b="0" i="0">
              <a:latin typeface="Cambria Math" panose="02040503050406030204" pitchFamily="18" charset="0"/>
            </a:rPr>
            <a:t>𝐸</a:t>
          </a:r>
          <a:r>
            <a:rPr lang="ru-RU" sz="1300" b="0" i="0">
              <a:latin typeface="Cambria Math" panose="02040503050406030204" pitchFamily="18" charset="0"/>
            </a:rPr>
            <a:t>_(пред.отч.,</a:t>
          </a:r>
          <a:r>
            <a:rPr lang="en-US" sz="1300" b="0" i="0">
              <a:latin typeface="Cambria Math" panose="02040503050406030204" pitchFamily="18" charset="0"/>
            </a:rPr>
            <a:t>𝑖</a:t>
          </a:r>
          <a:r>
            <a:rPr lang="ru-RU" sz="1300" b="0" i="0">
              <a:latin typeface="Cambria Math" panose="02040503050406030204" pitchFamily="18" charset="0"/>
            </a:rPr>
            <a:t>)</a:t>
          </a:r>
          <a:r>
            <a:rPr lang="en-US" sz="1300" b="0" i="0">
              <a:latin typeface="Cambria Math" panose="02040503050406030204" pitchFamily="18" charset="0"/>
            </a:rPr>
            <a:t>^</a:t>
          </a:r>
          <a:r>
            <a:rPr lang="ru-RU" sz="1300" b="0" i="0">
              <a:latin typeface="Cambria Math" panose="02040503050406030204" pitchFamily="18" charset="0"/>
            </a:rPr>
            <a:t>НИФЛ</a:t>
          </a:r>
          <a:endParaRPr lang="ru-RU" sz="1300"/>
        </a:p>
      </xdr:txBody>
    </xdr:sp>
    <xdr:clientData/>
  </xdr:oneCellAnchor>
  <xdr:oneCellAnchor>
    <xdr:from>
      <xdr:col>16</xdr:col>
      <xdr:colOff>38366</xdr:colOff>
      <xdr:row>11</xdr:row>
      <xdr:rowOff>70114</xdr:rowOff>
    </xdr:from>
    <xdr:ext cx="846665" cy="285751"/>
    <xdr:sp macro="" textlink="">
      <xdr:nvSpPr>
        <xdr:cNvPr id="17" name="TextBox 16"/>
        <xdr:cNvSpPr txBox="1"/>
      </xdr:nvSpPr>
      <xdr:spPr>
        <a:xfrm>
          <a:off x="15373616" y="4689739"/>
          <a:ext cx="846665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 sz="1300" b="0" i="0">
              <a:latin typeface="Cambria Math" panose="02040503050406030204" pitchFamily="18" charset="0"/>
            </a:rPr>
            <a:t>𝐸</a:t>
          </a:r>
          <a:r>
            <a:rPr lang="ru-RU" sz="1300" b="0" i="0">
              <a:latin typeface="Cambria Math" panose="02040503050406030204" pitchFamily="18" charset="0"/>
            </a:rPr>
            <a:t>_(отч.,</a:t>
          </a:r>
          <a:r>
            <a:rPr lang="en-US" sz="1300" b="0" i="0">
              <a:latin typeface="Cambria Math" panose="02040503050406030204" pitchFamily="18" charset="0"/>
            </a:rPr>
            <a:t>𝑖</a:t>
          </a:r>
          <a:r>
            <a:rPr lang="ru-RU" sz="1300" b="0" i="0">
              <a:latin typeface="Cambria Math" panose="02040503050406030204" pitchFamily="18" charset="0"/>
            </a:rPr>
            <a:t>)</a:t>
          </a:r>
          <a:r>
            <a:rPr lang="en-US" sz="1300" b="0" i="0">
              <a:latin typeface="Cambria Math" panose="02040503050406030204" pitchFamily="18" charset="0"/>
            </a:rPr>
            <a:t>^</a:t>
          </a:r>
          <a:r>
            <a:rPr lang="ru-RU" sz="1300" b="0" i="0">
              <a:latin typeface="Cambria Math" panose="02040503050406030204" pitchFamily="18" charset="0"/>
            </a:rPr>
            <a:t>НИФЛ</a:t>
          </a:r>
          <a:endParaRPr lang="ru-RU" sz="1300"/>
        </a:p>
      </xdr:txBody>
    </xdr:sp>
    <xdr:clientData/>
  </xdr:oneCellAnchor>
  <xdr:oneCellAnchor>
    <xdr:from>
      <xdr:col>20</xdr:col>
      <xdr:colOff>300037</xdr:colOff>
      <xdr:row>11</xdr:row>
      <xdr:rowOff>34396</xdr:rowOff>
    </xdr:from>
    <xdr:ext cx="1348865" cy="1245981"/>
    <xdr:sp macro="" textlink="">
      <xdr:nvSpPr>
        <xdr:cNvPr id="18" name="TextBox 17"/>
        <xdr:cNvSpPr txBox="1"/>
      </xdr:nvSpPr>
      <xdr:spPr>
        <a:xfrm>
          <a:off x="18902362" y="4654021"/>
          <a:ext cx="716735" cy="2414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300" b="0" i="0">
              <a:latin typeface="Cambria Math" panose="02040503050406030204" pitchFamily="18" charset="0"/>
            </a:rPr>
            <a:t>𝐸</a:t>
          </a:r>
          <a:r>
            <a:rPr lang="ru-RU" sz="1300" b="0" i="0">
              <a:latin typeface="Cambria Math" panose="02040503050406030204" pitchFamily="18" charset="0"/>
            </a:rPr>
            <a:t>_(пред.отч.,</a:t>
          </a:r>
          <a:r>
            <a:rPr lang="en-US" sz="1300" b="0" i="0">
              <a:latin typeface="Cambria Math" panose="02040503050406030204" pitchFamily="18" charset="0"/>
            </a:rPr>
            <a:t>𝑖</a:t>
          </a:r>
          <a:r>
            <a:rPr lang="ru-RU" sz="1300" b="0" i="0">
              <a:latin typeface="Cambria Math" panose="02040503050406030204" pitchFamily="18" charset="0"/>
            </a:rPr>
            <a:t>)</a:t>
          </a:r>
          <a:r>
            <a:rPr lang="en-US" sz="1300" b="0" i="0">
              <a:latin typeface="Cambria Math" panose="02040503050406030204" pitchFamily="18" charset="0"/>
            </a:rPr>
            <a:t>^</a:t>
          </a:r>
          <a:r>
            <a:rPr lang="ru-RU" sz="1300" b="0" i="0">
              <a:latin typeface="Cambria Math" panose="02040503050406030204" pitchFamily="18" charset="0"/>
            </a:rPr>
            <a:t>ЗН</a:t>
          </a:r>
          <a:endParaRPr lang="ru-RU" sz="1300"/>
        </a:p>
      </xdr:txBody>
    </xdr:sp>
    <xdr:clientData/>
  </xdr:oneCellAnchor>
  <xdr:oneCellAnchor>
    <xdr:from>
      <xdr:col>20</xdr:col>
      <xdr:colOff>1205178</xdr:colOff>
      <xdr:row>11</xdr:row>
      <xdr:rowOff>46302</xdr:rowOff>
    </xdr:from>
    <xdr:ext cx="846665" cy="285751"/>
    <xdr:sp macro="" textlink="">
      <xdr:nvSpPr>
        <xdr:cNvPr id="19" name="TextBox 18"/>
        <xdr:cNvSpPr txBox="1"/>
      </xdr:nvSpPr>
      <xdr:spPr>
        <a:xfrm>
          <a:off x="19797978" y="4665927"/>
          <a:ext cx="846665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 sz="1300" b="0" i="0">
              <a:latin typeface="Cambria Math" panose="02040503050406030204" pitchFamily="18" charset="0"/>
            </a:rPr>
            <a:t>𝐸</a:t>
          </a:r>
          <a:r>
            <a:rPr lang="ru-RU" sz="1300" b="0" i="0">
              <a:latin typeface="Cambria Math" panose="02040503050406030204" pitchFamily="18" charset="0"/>
            </a:rPr>
            <a:t>_(отч.,</a:t>
          </a:r>
          <a:r>
            <a:rPr lang="en-US" sz="1300" b="0" i="0">
              <a:latin typeface="Cambria Math" panose="02040503050406030204" pitchFamily="18" charset="0"/>
            </a:rPr>
            <a:t>𝑖</a:t>
          </a:r>
          <a:r>
            <a:rPr lang="ru-RU" sz="1300" b="0" i="0">
              <a:latin typeface="Cambria Math" panose="02040503050406030204" pitchFamily="18" charset="0"/>
            </a:rPr>
            <a:t>)</a:t>
          </a:r>
          <a:r>
            <a:rPr lang="en-US" sz="1300" b="0" i="0">
              <a:latin typeface="Cambria Math" panose="02040503050406030204" pitchFamily="18" charset="0"/>
            </a:rPr>
            <a:t>^</a:t>
          </a:r>
          <a:r>
            <a:rPr lang="ru-RU" sz="1300" b="0" i="0">
              <a:latin typeface="Cambria Math" panose="02040503050406030204" pitchFamily="18" charset="0"/>
            </a:rPr>
            <a:t>ЗН</a:t>
          </a:r>
          <a:endParaRPr lang="ru-RU" sz="1300"/>
        </a:p>
      </xdr:txBody>
    </xdr:sp>
    <xdr:clientData/>
  </xdr:oneCellAnchor>
  <xdr:oneCellAnchor>
    <xdr:from>
      <xdr:col>22</xdr:col>
      <xdr:colOff>247651</xdr:colOff>
      <xdr:row>11</xdr:row>
      <xdr:rowOff>57150</xdr:rowOff>
    </xdr:from>
    <xdr:ext cx="943948" cy="1229952"/>
    <xdr:sp macro="" textlink="">
      <xdr:nvSpPr>
        <xdr:cNvPr id="20" name="TextBox 19"/>
        <xdr:cNvSpPr txBox="1"/>
      </xdr:nvSpPr>
      <xdr:spPr>
        <a:xfrm>
          <a:off x="20974051" y="4667250"/>
          <a:ext cx="423770" cy="232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300" b="0" i="0">
              <a:latin typeface="Cambria Math" panose="02040503050406030204" pitchFamily="18" charset="0"/>
            </a:rPr>
            <a:t>𝐸</a:t>
          </a:r>
          <a:r>
            <a:rPr lang="ru-RU" sz="1300" b="0" i="0">
              <a:latin typeface="Cambria Math" panose="02040503050406030204" pitchFamily="18" charset="0"/>
            </a:rPr>
            <a:t>_(тек.,</a:t>
          </a:r>
          <a:r>
            <a:rPr lang="en-US" sz="1300" b="0" i="0">
              <a:latin typeface="Cambria Math" panose="02040503050406030204" pitchFamily="18" charset="0"/>
            </a:rPr>
            <a:t>𝑖</a:t>
          </a:r>
          <a:r>
            <a:rPr lang="ru-RU" sz="1300" b="0" i="0">
              <a:latin typeface="Cambria Math" panose="02040503050406030204" pitchFamily="18" charset="0"/>
            </a:rPr>
            <a:t>)</a:t>
          </a:r>
          <a:r>
            <a:rPr lang="en-US" sz="1300" b="0" i="0">
              <a:latin typeface="Cambria Math" panose="02040503050406030204" pitchFamily="18" charset="0"/>
            </a:rPr>
            <a:t>^</a:t>
          </a:r>
          <a:r>
            <a:rPr lang="ru-RU" sz="1300" b="0" i="0">
              <a:latin typeface="Cambria Math" panose="02040503050406030204" pitchFamily="18" charset="0"/>
            </a:rPr>
            <a:t>ЗН</a:t>
          </a:r>
          <a:endParaRPr lang="ru-RU" sz="1300"/>
        </a:p>
      </xdr:txBody>
    </xdr:sp>
    <xdr:clientData/>
  </xdr:oneCellAnchor>
  <xdr:oneCellAnchor>
    <xdr:from>
      <xdr:col>14</xdr:col>
      <xdr:colOff>66751</xdr:colOff>
      <xdr:row>2</xdr:row>
      <xdr:rowOff>38325</xdr:rowOff>
    </xdr:from>
    <xdr:ext cx="2545821" cy="655637"/>
    <xdr:sp macro="" textlink="">
      <xdr:nvSpPr>
        <xdr:cNvPr id="21" name="TextBox 20"/>
        <xdr:cNvSpPr txBox="1"/>
      </xdr:nvSpPr>
      <xdr:spPr>
        <a:xfrm>
          <a:off x="13544626" y="371700"/>
          <a:ext cx="2545821" cy="655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 sz="1800" i="0">
              <a:latin typeface="Cambria Math" panose="02040503050406030204" pitchFamily="18" charset="0"/>
            </a:rPr>
            <a:t>〖</a:t>
          </a:r>
          <a:r>
            <a:rPr lang="ru-RU" sz="1800" b="0" i="0">
              <a:latin typeface="Cambria Math" panose="02040503050406030204" pitchFamily="18" charset="0"/>
            </a:rPr>
            <a:t>ИНП</a:t>
          </a:r>
          <a:r>
            <a:rPr lang="en-US" sz="1800" b="0" i="0">
              <a:latin typeface="Cambria Math" panose="02040503050406030204" pitchFamily="18" charset="0"/>
            </a:rPr>
            <a:t>〗_𝑖</a:t>
          </a:r>
          <a:r>
            <a:rPr lang="en-US" sz="1800" i="0">
              <a:latin typeface="Cambria Math" panose="02040503050406030204" pitchFamily="18" charset="0"/>
            </a:rPr>
            <a:t>=〖</a:t>
          </a:r>
          <a:r>
            <a:rPr lang="ru-RU" sz="1800" b="0" i="0">
              <a:latin typeface="Cambria Math" panose="02040503050406030204" pitchFamily="18" charset="0"/>
            </a:rPr>
            <a:t>НП</a:t>
          </a:r>
          <a:r>
            <a:rPr lang="en-US" sz="1800" b="0" i="0">
              <a:latin typeface="Cambria Math" panose="02040503050406030204" pitchFamily="18" charset="0"/>
            </a:rPr>
            <a:t>〗_𝑖/</a:t>
          </a:r>
          <a:r>
            <a:rPr lang="ru-RU" sz="1800" b="0" i="0">
              <a:latin typeface="Cambria Math" panose="02040503050406030204" pitchFamily="18" charset="0"/>
            </a:rPr>
            <a:t>Н</a:t>
          </a:r>
          <a:r>
            <a:rPr lang="en-US" sz="1800" b="0" i="0">
              <a:latin typeface="Cambria Math" panose="02040503050406030204" pitchFamily="18" charset="0"/>
            </a:rPr>
            <a:t>_𝑖 </a:t>
          </a:r>
          <a:r>
            <a:rPr lang="ru-RU" sz="1800" b="0" i="0">
              <a:latin typeface="Cambria Math" panose="02040503050406030204" pitchFamily="18" charset="0"/>
            </a:rPr>
            <a:t> </a:t>
          </a:r>
          <a:r>
            <a:rPr lang="ru-RU" sz="1800" i="0">
              <a:latin typeface="Cambria Math" panose="02040503050406030204" pitchFamily="18" charset="0"/>
            </a:rPr>
            <a:t>x 〖∑</a:t>
          </a:r>
          <a:r>
            <a:rPr lang="ru-RU" sz="1800" b="0" i="0">
              <a:latin typeface="Cambria Math" panose="02040503050406030204" pitchFamily="18" charset="0"/>
            </a:rPr>
            <a:t>Н〗_</a:t>
          </a:r>
          <a:r>
            <a:rPr lang="en-US" sz="1800" b="0" i="0">
              <a:latin typeface="Cambria Math" panose="02040503050406030204" pitchFamily="18" charset="0"/>
            </a:rPr>
            <a:t>𝑖</a:t>
          </a:r>
          <a:r>
            <a:rPr lang="ru-RU" sz="1800" b="0" i="0">
              <a:latin typeface="Cambria Math" panose="02040503050406030204" pitchFamily="18" charset="0"/>
            </a:rPr>
            <a:t>/(</a:t>
          </a:r>
          <a:r>
            <a:rPr lang="ru-RU" sz="1800" i="0">
              <a:latin typeface="Cambria Math" panose="02040503050406030204" pitchFamily="18" charset="0"/>
            </a:rPr>
            <a:t>∑〖</a:t>
          </a:r>
          <a:r>
            <a:rPr lang="ru-RU" sz="1800" b="0" i="0">
              <a:latin typeface="Cambria Math" panose="02040503050406030204" pitchFamily="18" charset="0"/>
            </a:rPr>
            <a:t>НП〗_</a:t>
          </a:r>
          <a:r>
            <a:rPr lang="en-US" sz="1800" b="0" i="0">
              <a:latin typeface="Cambria Math" panose="02040503050406030204" pitchFamily="18" charset="0"/>
            </a:rPr>
            <a:t>𝑖 </a:t>
          </a:r>
          <a:r>
            <a:rPr lang="ru-RU" sz="1800" b="0" i="0">
              <a:latin typeface="Cambria Math" panose="02040503050406030204" pitchFamily="18" charset="0"/>
            </a:rPr>
            <a:t>)</a:t>
          </a:r>
          <a:r>
            <a:rPr lang="en-US" sz="1800" b="0" i="0">
              <a:latin typeface="Cambria Math" panose="02040503050406030204" pitchFamily="18" charset="0"/>
            </a:rPr>
            <a:t> </a:t>
          </a:r>
          <a:r>
            <a:rPr lang="en-US" sz="1800" i="0">
              <a:latin typeface="Cambria Math" panose="02040503050406030204" pitchFamily="18" charset="0"/>
            </a:rPr>
            <a:t>x</a:t>
          </a:r>
          <a:r>
            <a:rPr lang="ru-RU" sz="1800" b="0" i="0">
              <a:latin typeface="Cambria Math" panose="02040503050406030204" pitchFamily="18" charset="0"/>
            </a:rPr>
            <a:t>К</a:t>
          </a:r>
          <a:r>
            <a:rPr lang="en-US" sz="1800" b="0" i="0">
              <a:latin typeface="Cambria Math" panose="02040503050406030204" pitchFamily="18" charset="0"/>
            </a:rPr>
            <a:t>_𝑖</a:t>
          </a:r>
          <a:endParaRPr lang="ru-RU" sz="1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5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5\DOCUME~1\k214_1\LOCALS~1\Temp\Rar$DI84.5235\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zoomScale="70" zoomScaleNormal="70" workbookViewId="0">
      <pane xSplit="3" ySplit="13" topLeftCell="D14" activePane="bottomRight" state="frozen"/>
      <selection pane="topRight" activeCell="C1" sqref="C1"/>
      <selection pane="bottomLeft" activeCell="A6" sqref="A6"/>
      <selection pane="bottomRight" activeCell="D14" sqref="D14"/>
    </sheetView>
  </sheetViews>
  <sheetFormatPr defaultRowHeight="12.75" x14ac:dyDescent="0.2"/>
  <cols>
    <col min="1" max="1" width="9.28515625" style="71" bestFit="1" customWidth="1"/>
    <col min="2" max="2" width="31.5703125" style="74" customWidth="1"/>
    <col min="3" max="3" width="15.85546875" style="74" customWidth="1"/>
    <col min="4" max="4" width="14.28515625" style="75" customWidth="1"/>
    <col min="5" max="5" width="16.28515625" style="76" bestFit="1" customWidth="1"/>
    <col min="6" max="6" width="15.28515625" style="76" customWidth="1"/>
    <col min="7" max="9" width="11.5703125" style="76" bestFit="1" customWidth="1"/>
    <col min="10" max="10" width="15" style="76" customWidth="1"/>
    <col min="11" max="11" width="13.28515625" style="77" customWidth="1"/>
    <col min="12" max="12" width="13.42578125" style="76" customWidth="1"/>
    <col min="13" max="15" width="11.5703125" style="76" bestFit="1" customWidth="1"/>
    <col min="16" max="16" width="16.28515625" style="76" customWidth="1"/>
    <col min="17" max="17" width="14.140625" style="76" customWidth="1"/>
    <col min="18" max="20" width="11.5703125" style="71" bestFit="1" customWidth="1"/>
    <col min="21" max="21" width="18.42578125" style="71" bestFit="1" customWidth="1"/>
    <col min="22" max="22" width="13.7109375" style="71" customWidth="1"/>
    <col min="23" max="23" width="14" style="71" customWidth="1"/>
    <col min="24" max="26" width="11.5703125" style="71" bestFit="1" customWidth="1"/>
    <col min="27" max="29" width="12.5703125" style="71" bestFit="1" customWidth="1"/>
    <col min="30" max="32" width="10.42578125" style="71" customWidth="1"/>
    <col min="33" max="33" width="16" style="71" customWidth="1"/>
    <col min="34" max="34" width="17.85546875" style="71" customWidth="1"/>
    <col min="35" max="35" width="21" style="71" customWidth="1"/>
    <col min="36" max="36" width="12.140625" style="71" customWidth="1"/>
    <col min="37" max="37" width="24.7109375" style="71" customWidth="1"/>
    <col min="38" max="38" width="19.7109375" style="71" customWidth="1"/>
    <col min="39" max="16384" width="9.140625" style="71"/>
  </cols>
  <sheetData>
    <row r="1" spans="1:38" s="69" customFormat="1" ht="26.25" customHeight="1" x14ac:dyDescent="0.2">
      <c r="B1" s="180" t="s">
        <v>108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</row>
    <row r="2" spans="1:38" s="69" customFormat="1" ht="26.25" customHeight="1" x14ac:dyDescent="0.2">
      <c r="B2" s="182" t="s">
        <v>132</v>
      </c>
      <c r="C2" s="183"/>
      <c r="D2" s="72">
        <v>2020</v>
      </c>
      <c r="E2" s="72">
        <v>2021</v>
      </c>
      <c r="F2" s="72">
        <v>2022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</row>
    <row r="3" spans="1:38" s="69" customFormat="1" ht="57" customHeight="1" x14ac:dyDescent="0.2">
      <c r="B3" s="184"/>
      <c r="C3" s="185"/>
      <c r="D3" s="100">
        <f>G8+M8+R8+X8</f>
        <v>25472.6</v>
      </c>
      <c r="E3" s="100">
        <f>H8+N8+S8+Y8</f>
        <v>26469.300000000003</v>
      </c>
      <c r="F3" s="100">
        <f>I8+O8+T8+Z8</f>
        <v>27510.7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8" s="69" customFormat="1" ht="27" customHeight="1" x14ac:dyDescent="0.2">
      <c r="A4" s="186" t="s">
        <v>109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</row>
    <row r="6" spans="1:38" ht="45" customHeight="1" x14ac:dyDescent="0.2">
      <c r="B6" s="181" t="s">
        <v>110</v>
      </c>
      <c r="C6" s="164" t="s">
        <v>111</v>
      </c>
      <c r="D6" s="164" t="s">
        <v>111</v>
      </c>
      <c r="E6" s="164" t="s">
        <v>111</v>
      </c>
      <c r="F6" s="164" t="s">
        <v>111</v>
      </c>
      <c r="G6" s="165"/>
      <c r="H6" s="165"/>
      <c r="I6" s="165"/>
      <c r="J6" s="164" t="s">
        <v>111</v>
      </c>
      <c r="K6" s="164" t="s">
        <v>111</v>
      </c>
      <c r="L6" s="164" t="s">
        <v>111</v>
      </c>
      <c r="M6" s="187"/>
      <c r="N6" s="187"/>
      <c r="O6" s="187"/>
      <c r="P6" s="164" t="s">
        <v>111</v>
      </c>
      <c r="Q6" s="164" t="s">
        <v>111</v>
      </c>
      <c r="R6" s="188"/>
      <c r="S6" s="188"/>
      <c r="T6" s="188"/>
      <c r="U6" s="164" t="s">
        <v>111</v>
      </c>
      <c r="V6" s="164" t="s">
        <v>111</v>
      </c>
      <c r="W6" s="164" t="s">
        <v>111</v>
      </c>
      <c r="X6" s="187"/>
      <c r="Y6" s="187"/>
      <c r="Z6" s="187"/>
    </row>
    <row r="7" spans="1:38" x14ac:dyDescent="0.2">
      <c r="B7" s="181"/>
      <c r="C7" s="164"/>
      <c r="D7" s="164"/>
      <c r="E7" s="164"/>
      <c r="F7" s="164"/>
      <c r="G7" s="72">
        <v>2020</v>
      </c>
      <c r="H7" s="72">
        <v>2021</v>
      </c>
      <c r="I7" s="72">
        <v>2022</v>
      </c>
      <c r="J7" s="164"/>
      <c r="K7" s="164"/>
      <c r="L7" s="164"/>
      <c r="M7" s="72">
        <v>2020</v>
      </c>
      <c r="N7" s="72">
        <v>2021</v>
      </c>
      <c r="O7" s="72">
        <v>2022</v>
      </c>
      <c r="P7" s="164"/>
      <c r="Q7" s="164"/>
      <c r="R7" s="72">
        <v>2020</v>
      </c>
      <c r="S7" s="72">
        <v>2021</v>
      </c>
      <c r="T7" s="72">
        <v>2022</v>
      </c>
      <c r="U7" s="164"/>
      <c r="V7" s="164"/>
      <c r="W7" s="164"/>
      <c r="X7" s="72">
        <v>2020</v>
      </c>
      <c r="Y7" s="72">
        <v>2021</v>
      </c>
      <c r="Z7" s="72">
        <v>2022</v>
      </c>
    </row>
    <row r="8" spans="1:38" ht="45.75" customHeight="1" x14ac:dyDescent="0.2">
      <c r="B8" s="181"/>
      <c r="C8" s="164"/>
      <c r="D8" s="164"/>
      <c r="E8" s="164"/>
      <c r="F8" s="164"/>
      <c r="G8" s="73">
        <v>9990.4</v>
      </c>
      <c r="H8" s="73">
        <v>10388.200000000001</v>
      </c>
      <c r="I8" s="73">
        <v>10802.6</v>
      </c>
      <c r="J8" s="164"/>
      <c r="K8" s="164"/>
      <c r="L8" s="164"/>
      <c r="M8" s="73">
        <v>859.7</v>
      </c>
      <c r="N8" s="73">
        <v>891.4</v>
      </c>
      <c r="O8" s="73">
        <v>925.6</v>
      </c>
      <c r="P8" s="164"/>
      <c r="Q8" s="164"/>
      <c r="R8" s="73">
        <v>574.29999999999995</v>
      </c>
      <c r="S8" s="73">
        <v>596</v>
      </c>
      <c r="T8" s="73">
        <v>618.4</v>
      </c>
      <c r="U8" s="164"/>
      <c r="V8" s="164"/>
      <c r="W8" s="164"/>
      <c r="X8" s="73">
        <v>14048.2</v>
      </c>
      <c r="Y8" s="73">
        <v>14593.7</v>
      </c>
      <c r="Z8" s="73">
        <v>15164.1</v>
      </c>
    </row>
    <row r="9" spans="1:38" ht="18.75" x14ac:dyDescent="0.2">
      <c r="Q9" s="78"/>
    </row>
    <row r="10" spans="1:38" ht="19.5" thickBot="1" x14ac:dyDescent="0.25">
      <c r="Q10" s="78"/>
    </row>
    <row r="11" spans="1:38" s="75" customFormat="1" ht="89.25" x14ac:dyDescent="0.2">
      <c r="A11" s="166" t="s">
        <v>112</v>
      </c>
      <c r="B11" s="166" t="s">
        <v>113</v>
      </c>
      <c r="C11" s="79" t="s">
        <v>114</v>
      </c>
      <c r="D11" s="167" t="s">
        <v>115</v>
      </c>
      <c r="E11" s="168"/>
      <c r="F11" s="168"/>
      <c r="G11" s="168"/>
      <c r="H11" s="168"/>
      <c r="I11" s="169"/>
      <c r="J11" s="167" t="s">
        <v>116</v>
      </c>
      <c r="K11" s="168"/>
      <c r="L11" s="168"/>
      <c r="M11" s="168"/>
      <c r="N11" s="168"/>
      <c r="O11" s="169"/>
      <c r="P11" s="167" t="s">
        <v>117</v>
      </c>
      <c r="Q11" s="168"/>
      <c r="R11" s="168"/>
      <c r="S11" s="168"/>
      <c r="T11" s="169"/>
      <c r="U11" s="167" t="s">
        <v>118</v>
      </c>
      <c r="V11" s="168"/>
      <c r="W11" s="168"/>
      <c r="X11" s="168"/>
      <c r="Y11" s="168"/>
      <c r="Z11" s="169"/>
      <c r="AA11" s="175" t="s">
        <v>119</v>
      </c>
      <c r="AB11" s="175"/>
      <c r="AC11" s="176"/>
      <c r="AD11" s="174" t="s">
        <v>120</v>
      </c>
      <c r="AE11" s="175"/>
      <c r="AF11" s="176"/>
      <c r="AG11" s="170" t="s">
        <v>121</v>
      </c>
      <c r="AH11" s="170"/>
      <c r="AI11" s="170"/>
    </row>
    <row r="12" spans="1:38" s="75" customFormat="1" ht="28.5" customHeight="1" x14ac:dyDescent="0.2">
      <c r="A12" s="166"/>
      <c r="B12" s="166"/>
      <c r="C12" s="80" t="s">
        <v>122</v>
      </c>
      <c r="D12" s="81"/>
      <c r="E12" s="82"/>
      <c r="F12" s="82"/>
      <c r="G12" s="171"/>
      <c r="H12" s="172"/>
      <c r="I12" s="173"/>
      <c r="J12" s="81"/>
      <c r="K12" s="82"/>
      <c r="L12" s="82"/>
      <c r="M12" s="171"/>
      <c r="N12" s="172"/>
      <c r="O12" s="173"/>
      <c r="P12" s="81"/>
      <c r="Q12" s="82"/>
      <c r="R12" s="171"/>
      <c r="S12" s="172"/>
      <c r="T12" s="173"/>
      <c r="U12" s="81"/>
      <c r="V12" s="82"/>
      <c r="W12" s="82"/>
      <c r="X12" s="171"/>
      <c r="Y12" s="172"/>
      <c r="Z12" s="173"/>
      <c r="AA12" s="178"/>
      <c r="AB12" s="178"/>
      <c r="AC12" s="179"/>
      <c r="AD12" s="177"/>
      <c r="AE12" s="178"/>
      <c r="AF12" s="179"/>
      <c r="AG12" s="170"/>
      <c r="AH12" s="170"/>
      <c r="AI12" s="170"/>
    </row>
    <row r="13" spans="1:38" ht="38.25" x14ac:dyDescent="0.2">
      <c r="A13" s="166"/>
      <c r="B13" s="166"/>
      <c r="C13" s="80" t="s">
        <v>123</v>
      </c>
      <c r="D13" s="83" t="s">
        <v>124</v>
      </c>
      <c r="E13" s="84" t="s">
        <v>125</v>
      </c>
      <c r="F13" s="85" t="s">
        <v>126</v>
      </c>
      <c r="G13" s="72">
        <v>2020</v>
      </c>
      <c r="H13" s="72">
        <v>2021</v>
      </c>
      <c r="I13" s="86">
        <v>2022</v>
      </c>
      <c r="J13" s="83" t="s">
        <v>127</v>
      </c>
      <c r="K13" s="84" t="s">
        <v>128</v>
      </c>
      <c r="L13" s="85" t="s">
        <v>129</v>
      </c>
      <c r="M13" s="72">
        <v>2020</v>
      </c>
      <c r="N13" s="72">
        <v>2021</v>
      </c>
      <c r="O13" s="86">
        <v>2022</v>
      </c>
      <c r="P13" s="83" t="s">
        <v>127</v>
      </c>
      <c r="Q13" s="84" t="s">
        <v>128</v>
      </c>
      <c r="R13" s="72">
        <v>2020</v>
      </c>
      <c r="S13" s="72">
        <v>2021</v>
      </c>
      <c r="T13" s="86">
        <v>2022</v>
      </c>
      <c r="U13" s="83" t="s">
        <v>127</v>
      </c>
      <c r="V13" s="84" t="s">
        <v>128</v>
      </c>
      <c r="W13" s="85" t="s">
        <v>129</v>
      </c>
      <c r="X13" s="72">
        <v>2020</v>
      </c>
      <c r="Y13" s="72">
        <v>2021</v>
      </c>
      <c r="Z13" s="86">
        <v>2022</v>
      </c>
      <c r="AA13" s="87">
        <v>2020</v>
      </c>
      <c r="AB13" s="72">
        <v>2021</v>
      </c>
      <c r="AC13" s="72">
        <v>2022</v>
      </c>
      <c r="AD13" s="72">
        <v>2020</v>
      </c>
      <c r="AE13" s="72">
        <v>2021</v>
      </c>
      <c r="AF13" s="72">
        <v>2022</v>
      </c>
      <c r="AG13" s="72">
        <v>2020</v>
      </c>
      <c r="AH13" s="72">
        <v>2021</v>
      </c>
      <c r="AI13" s="72">
        <v>2022</v>
      </c>
    </row>
    <row r="14" spans="1:38" s="94" customFormat="1" ht="18" x14ac:dyDescent="0.2">
      <c r="A14" s="88">
        <v>0</v>
      </c>
      <c r="B14" s="88" t="s">
        <v>1</v>
      </c>
      <c r="C14" s="89">
        <f t="shared" ref="C14:AC14" si="0">SUM(C15:C26)</f>
        <v>21436</v>
      </c>
      <c r="D14" s="90">
        <f t="shared" si="0"/>
        <v>108314.00097142856</v>
      </c>
      <c r="E14" s="89">
        <f t="shared" si="0"/>
        <v>131758.05271428567</v>
      </c>
      <c r="F14" s="89">
        <f t="shared" si="0"/>
        <v>66176.759428571429</v>
      </c>
      <c r="G14" s="89">
        <f t="shared" si="0"/>
        <v>9990.4</v>
      </c>
      <c r="H14" s="89">
        <f t="shared" si="0"/>
        <v>10388.199999999999</v>
      </c>
      <c r="I14" s="91">
        <f t="shared" si="0"/>
        <v>10802.6</v>
      </c>
      <c r="J14" s="90">
        <f t="shared" si="0"/>
        <v>785.16</v>
      </c>
      <c r="K14" s="89">
        <f t="shared" si="0"/>
        <v>846.62</v>
      </c>
      <c r="L14" s="89">
        <f t="shared" si="0"/>
        <v>1302.0169999999998</v>
      </c>
      <c r="M14" s="89">
        <f t="shared" si="0"/>
        <v>859.7</v>
      </c>
      <c r="N14" s="89">
        <f t="shared" si="0"/>
        <v>891.4</v>
      </c>
      <c r="O14" s="91">
        <f t="shared" si="0"/>
        <v>925.6</v>
      </c>
      <c r="P14" s="90">
        <f t="shared" si="0"/>
        <v>829.43600000000004</v>
      </c>
      <c r="Q14" s="89">
        <f t="shared" si="0"/>
        <v>499.80919</v>
      </c>
      <c r="R14" s="89">
        <f t="shared" si="0"/>
        <v>574.29999999999995</v>
      </c>
      <c r="S14" s="89">
        <f t="shared" si="0"/>
        <v>596</v>
      </c>
      <c r="T14" s="91">
        <f t="shared" si="0"/>
        <v>618.40000000000009</v>
      </c>
      <c r="U14" s="90">
        <f t="shared" si="0"/>
        <v>16556.820459999999</v>
      </c>
      <c r="V14" s="89">
        <f t="shared" si="0"/>
        <v>15829.418310000001</v>
      </c>
      <c r="W14" s="89">
        <f t="shared" si="0"/>
        <v>6024.0010000000002</v>
      </c>
      <c r="X14" s="89">
        <f t="shared" si="0"/>
        <v>14048.199999999999</v>
      </c>
      <c r="Y14" s="89">
        <f t="shared" si="0"/>
        <v>14593.7</v>
      </c>
      <c r="Z14" s="91">
        <f t="shared" si="0"/>
        <v>15164.099999999999</v>
      </c>
      <c r="AA14" s="92">
        <f t="shared" si="0"/>
        <v>25472.600000000002</v>
      </c>
      <c r="AB14" s="89">
        <f t="shared" si="0"/>
        <v>26469.3</v>
      </c>
      <c r="AC14" s="89">
        <f t="shared" si="0"/>
        <v>27510.699999999997</v>
      </c>
      <c r="AD14" s="93"/>
      <c r="AE14" s="93"/>
      <c r="AF14" s="93"/>
      <c r="AG14" s="93"/>
      <c r="AH14" s="93"/>
      <c r="AI14" s="93"/>
    </row>
    <row r="15" spans="1:38" ht="15.75" x14ac:dyDescent="0.25">
      <c r="A15" s="95">
        <v>1</v>
      </c>
      <c r="B15" s="96" t="s">
        <v>138</v>
      </c>
      <c r="C15" s="97">
        <v>1868</v>
      </c>
      <c r="D15" s="98">
        <v>8590.3525714285715</v>
      </c>
      <c r="E15" s="99">
        <v>9464.411714285714</v>
      </c>
      <c r="F15" s="73">
        <v>5287.7527142857143</v>
      </c>
      <c r="G15" s="100">
        <f t="shared" ref="G15:G26" si="1">$G$8*((0.3*D15/$D$14)+(0.35*E15/$E$14)+(0.35*F15/$F$14))</f>
        <v>768.26417908455414</v>
      </c>
      <c r="H15" s="100">
        <f t="shared" ref="H15:H26" si="2">$H$8*((0.3*D15/$D$14)+(0.35*E15/$E$14)+(0.35*F15/$F$14))</f>
        <v>798.85509540820851</v>
      </c>
      <c r="I15" s="101">
        <f t="shared" ref="I15:I26" si="3">$I$8*((0.3*D15/$D$14)+(0.35*E15/$E$14)+(0.35*F15/$F$14))</f>
        <v>830.72255575140184</v>
      </c>
      <c r="J15" s="98">
        <v>35.76</v>
      </c>
      <c r="K15" s="99">
        <v>15.03</v>
      </c>
      <c r="L15" s="99">
        <v>57.42</v>
      </c>
      <c r="M15" s="102">
        <f t="shared" ref="M15:M26" si="4">$M$8*((0.3*J15/$J$14)+(0.35*K15/$K$14)+(0.35*L15/$L$14))</f>
        <v>30.357959309296319</v>
      </c>
      <c r="N15" s="102">
        <f t="shared" ref="N15:N26" si="5">$N$8*((0.3*J15/$J$14)+(0.35*K15/$K$14)+(0.35*L15/$L$14))</f>
        <v>31.477358297437171</v>
      </c>
      <c r="O15" s="103">
        <f t="shared" ref="O15:O26" si="6">$O$8*((0.3*J15/$J$14)+(0.35*K15/$K$14)+(0.35*L15/$L$14))</f>
        <v>32.685037962876201</v>
      </c>
      <c r="P15" s="98">
        <v>79.650999999999996</v>
      </c>
      <c r="Q15" s="99">
        <v>53.42</v>
      </c>
      <c r="R15" s="100">
        <f t="shared" ref="R15:R26" si="7">$R$8*((0.45*P15/$P$14)+(0.55*Q15/$Q$14))</f>
        <v>58.577494400301433</v>
      </c>
      <c r="S15" s="100">
        <f t="shared" ref="S15:S26" si="8">$S$8*((0.45*P15/$P$14)+(0.55*Q15/$Q$14))</f>
        <v>60.790852625073406</v>
      </c>
      <c r="T15" s="100">
        <f t="shared" ref="T15:T26" si="9">$T$8*((0.45*P15/$P$14)+(0.55*Q15/$Q$14))</f>
        <v>63.075609502257372</v>
      </c>
      <c r="U15" s="98">
        <v>1668.24</v>
      </c>
      <c r="V15" s="99">
        <v>1169.174</v>
      </c>
      <c r="W15" s="99">
        <v>300.93700000000001</v>
      </c>
      <c r="X15" s="102">
        <f t="shared" ref="X15:X26" si="10">$X$8*((0.3*U15/$U$14)+(0.35*V15/$V$14)+(0.35*W15/$W$14))</f>
        <v>1033.4354696494247</v>
      </c>
      <c r="Y15" s="102">
        <f t="shared" ref="Y15:Y26" si="11">$Y$8*((0.3*U15/$U$14)+(0.35*V15/$V$14)+(0.35*W15/$W$14))</f>
        <v>1073.5643864283545</v>
      </c>
      <c r="Z15" s="103">
        <f t="shared" ref="Z15:Z26" si="12">$Z$8*((0.3*U15/$U$14)+(0.35*V15/$V$14)+(0.35*W15/$W$14))</f>
        <v>1115.5250356138752</v>
      </c>
      <c r="AA15" s="105">
        <f>G15+M15+X15+R15</f>
        <v>1890.6351024435767</v>
      </c>
      <c r="AB15" s="100">
        <f>H15+N15+Y15+S15</f>
        <v>1964.6876927590738</v>
      </c>
      <c r="AC15" s="100">
        <f>I15+O15+Z15+T15</f>
        <v>2042.0082388304106</v>
      </c>
      <c r="AD15" s="125">
        <v>2.2696375165373044E-4</v>
      </c>
      <c r="AE15" s="125">
        <v>2.3274222510197585E-4</v>
      </c>
      <c r="AF15" s="125">
        <v>2.3388179573915116E-4</v>
      </c>
      <c r="AG15" s="142">
        <f>AA15/C15*$C$14/$AA$14*AD15</f>
        <v>1.9331155717266954E-4</v>
      </c>
      <c r="AH15" s="142">
        <f>AB15/C15*$C$14/$AB$14*AE15</f>
        <v>1.9824083893192732E-4</v>
      </c>
      <c r="AI15" s="142">
        <f>AC15/C15*$C$14/$AC$14*AF15</f>
        <v>1.9921367405641678E-4</v>
      </c>
      <c r="AK15" s="106"/>
      <c r="AL15" s="106"/>
    </row>
    <row r="16" spans="1:38" ht="15.75" x14ac:dyDescent="0.25">
      <c r="A16" s="95">
        <v>2</v>
      </c>
      <c r="B16" s="96" t="s">
        <v>139</v>
      </c>
      <c r="C16" s="97">
        <v>1483</v>
      </c>
      <c r="D16" s="98">
        <v>4008.304128571428</v>
      </c>
      <c r="E16" s="99">
        <v>5115.507428571429</v>
      </c>
      <c r="F16" s="73">
        <v>2906.9604285714281</v>
      </c>
      <c r="G16" s="100">
        <f t="shared" si="1"/>
        <v>400.26714065538613</v>
      </c>
      <c r="H16" s="100">
        <f t="shared" si="2"/>
        <v>416.20506792083228</v>
      </c>
      <c r="I16" s="101">
        <f t="shared" si="3"/>
        <v>432.80807711842118</v>
      </c>
      <c r="J16" s="98">
        <v>129.62200000000001</v>
      </c>
      <c r="K16" s="99">
        <v>94.739000000000004</v>
      </c>
      <c r="L16" s="99">
        <v>320.06599999999997</v>
      </c>
      <c r="M16" s="102">
        <f t="shared" si="4"/>
        <v>150.21625610038546</v>
      </c>
      <c r="N16" s="102">
        <f t="shared" si="5"/>
        <v>155.75522936824891</v>
      </c>
      <c r="O16" s="103">
        <f t="shared" si="6"/>
        <v>161.73103018089657</v>
      </c>
      <c r="P16" s="98">
        <v>10.041</v>
      </c>
      <c r="Q16" s="99">
        <v>-6.4370000000000003</v>
      </c>
      <c r="R16" s="100">
        <f t="shared" si="7"/>
        <v>-0.9394317569030356</v>
      </c>
      <c r="S16" s="100">
        <f t="shared" si="8"/>
        <v>-0.97492830770365535</v>
      </c>
      <c r="T16" s="100">
        <f t="shared" si="9"/>
        <v>-1.0115699085301013</v>
      </c>
      <c r="U16" s="98">
        <v>930.43399999999997</v>
      </c>
      <c r="V16" s="99">
        <v>922.74138000000005</v>
      </c>
      <c r="W16" s="99">
        <v>270.959</v>
      </c>
      <c r="X16" s="102">
        <f t="shared" si="10"/>
        <v>744.61610805855241</v>
      </c>
      <c r="Y16" s="102">
        <f t="shared" si="11"/>
        <v>773.5299964532179</v>
      </c>
      <c r="Z16" s="103">
        <f t="shared" si="12"/>
        <v>803.76369386901479</v>
      </c>
      <c r="AA16" s="105">
        <f t="shared" ref="AA16:AC26" si="13">G16+M16+X16+R16</f>
        <v>1294.160073057421</v>
      </c>
      <c r="AB16" s="100">
        <f t="shared" si="13"/>
        <v>1344.5153654345952</v>
      </c>
      <c r="AC16" s="100">
        <f t="shared" si="13"/>
        <v>1397.2912312598023</v>
      </c>
      <c r="AD16" s="125">
        <v>3.2737768544519703E-4</v>
      </c>
      <c r="AE16" s="125">
        <v>3.4521119156568877E-4</v>
      </c>
      <c r="AF16" s="125">
        <v>3.6883303227776569E-4</v>
      </c>
      <c r="AG16" s="142">
        <f t="shared" ref="AG16:AG26" si="14">AA16/C16*$C$14/$AA$14*AD16</f>
        <v>2.4041767471431877E-4</v>
      </c>
      <c r="AH16" s="142">
        <f t="shared" ref="AH16:AH26" si="15">AB16/C16*$C$14/$AB$14*AE16</f>
        <v>2.534607862849884E-4</v>
      </c>
      <c r="AI16" s="142">
        <f t="shared" ref="AI16:AI26" si="16">AC16/C16*$C$14/$AC$14*AF16</f>
        <v>2.7078069527882657E-4</v>
      </c>
      <c r="AK16" s="106"/>
      <c r="AL16" s="106"/>
    </row>
    <row r="17" spans="1:48" ht="15.75" x14ac:dyDescent="0.25">
      <c r="A17" s="95">
        <v>3</v>
      </c>
      <c r="B17" s="96" t="s">
        <v>140</v>
      </c>
      <c r="C17" s="97">
        <v>782</v>
      </c>
      <c r="D17" s="98">
        <v>1879.9024285714281</v>
      </c>
      <c r="E17" s="99">
        <v>2283.5924285714286</v>
      </c>
      <c r="F17" s="73">
        <v>1301.1814285714286</v>
      </c>
      <c r="G17" s="100">
        <f t="shared" si="1"/>
        <v>181.37256965235417</v>
      </c>
      <c r="H17" s="100">
        <f t="shared" si="2"/>
        <v>188.59450352964706</v>
      </c>
      <c r="I17" s="101">
        <f t="shared" si="3"/>
        <v>196.11780518563035</v>
      </c>
      <c r="J17" s="98">
        <v>23.28</v>
      </c>
      <c r="K17" s="99">
        <v>17.16</v>
      </c>
      <c r="L17" s="99">
        <v>24.058</v>
      </c>
      <c r="M17" s="102">
        <f t="shared" si="4"/>
        <v>19.305607136095627</v>
      </c>
      <c r="N17" s="102">
        <f t="shared" si="5"/>
        <v>20.017469118431595</v>
      </c>
      <c r="O17" s="103">
        <f t="shared" si="6"/>
        <v>20.785471635652105</v>
      </c>
      <c r="P17" s="98">
        <v>3.9710000000000001</v>
      </c>
      <c r="Q17" s="99">
        <v>-1.7000000000000001E-2</v>
      </c>
      <c r="R17" s="100">
        <f t="shared" si="7"/>
        <v>1.2265374677381342</v>
      </c>
      <c r="S17" s="100">
        <f t="shared" si="8"/>
        <v>1.2728823450669129</v>
      </c>
      <c r="T17" s="100">
        <f t="shared" si="9"/>
        <v>1.3207222184385552</v>
      </c>
      <c r="U17" s="98">
        <v>179.49299999999999</v>
      </c>
      <c r="V17" s="99">
        <v>206.596</v>
      </c>
      <c r="W17" s="99">
        <v>63.002000000000002</v>
      </c>
      <c r="X17" s="102">
        <f t="shared" si="10"/>
        <v>161.28417895153376</v>
      </c>
      <c r="Y17" s="102">
        <f t="shared" si="11"/>
        <v>167.54693998982066</v>
      </c>
      <c r="Z17" s="103">
        <f t="shared" si="12"/>
        <v>174.09557224690374</v>
      </c>
      <c r="AA17" s="105">
        <f t="shared" si="13"/>
        <v>363.18889320772166</v>
      </c>
      <c r="AB17" s="100">
        <f t="shared" si="13"/>
        <v>377.43179498296627</v>
      </c>
      <c r="AC17" s="100">
        <f t="shared" si="13"/>
        <v>392.31957128662475</v>
      </c>
      <c r="AD17" s="125">
        <v>1.1321695530268577E-4</v>
      </c>
      <c r="AE17" s="125">
        <v>1.1947536119864073E-4</v>
      </c>
      <c r="AF17" s="125">
        <v>1.2728882546853796E-4</v>
      </c>
      <c r="AG17" s="142">
        <f t="shared" si="14"/>
        <v>4.4249437021252434E-5</v>
      </c>
      <c r="AH17" s="142">
        <f t="shared" si="15"/>
        <v>4.6699407850256722E-5</v>
      </c>
      <c r="AI17" s="142">
        <f t="shared" si="16"/>
        <v>4.9758308384023376E-5</v>
      </c>
      <c r="AK17" s="106"/>
      <c r="AL17" s="106"/>
    </row>
    <row r="18" spans="1:48" ht="15.75" x14ac:dyDescent="0.25">
      <c r="A18" s="95">
        <v>4</v>
      </c>
      <c r="B18" s="96" t="s">
        <v>141</v>
      </c>
      <c r="C18" s="97">
        <v>1353</v>
      </c>
      <c r="D18" s="98">
        <v>2910.159714285714</v>
      </c>
      <c r="E18" s="99">
        <v>4103.8708571428569</v>
      </c>
      <c r="F18" s="73">
        <v>2552.2632857142853</v>
      </c>
      <c r="G18" s="100">
        <f t="shared" si="1"/>
        <v>324.29215675870836</v>
      </c>
      <c r="H18" s="100">
        <f t="shared" si="2"/>
        <v>337.20489498326538</v>
      </c>
      <c r="I18" s="101">
        <f t="shared" si="3"/>
        <v>350.65647547661985</v>
      </c>
      <c r="J18" s="98">
        <v>103.413</v>
      </c>
      <c r="K18" s="99">
        <v>88.78</v>
      </c>
      <c r="L18" s="99">
        <v>143.72900000000001</v>
      </c>
      <c r="M18" s="102">
        <f t="shared" si="4"/>
        <v>98.737901868926969</v>
      </c>
      <c r="N18" s="102">
        <f t="shared" si="5"/>
        <v>102.37869690119983</v>
      </c>
      <c r="O18" s="103">
        <f t="shared" si="6"/>
        <v>106.30662087923555</v>
      </c>
      <c r="P18" s="98">
        <v>5.0650000000000004</v>
      </c>
      <c r="Q18" s="99">
        <v>5.375</v>
      </c>
      <c r="R18" s="100">
        <f t="shared" si="7"/>
        <v>4.9749936694542223</v>
      </c>
      <c r="S18" s="100">
        <f t="shared" si="8"/>
        <v>5.1629744506263568</v>
      </c>
      <c r="T18" s="100">
        <f t="shared" si="9"/>
        <v>5.3570191279653345</v>
      </c>
      <c r="U18" s="98">
        <v>862.22699999999998</v>
      </c>
      <c r="V18" s="99">
        <v>610.13499999999999</v>
      </c>
      <c r="W18" s="99">
        <v>306.89400000000001</v>
      </c>
      <c r="X18" s="102">
        <f t="shared" si="10"/>
        <v>659.4844351939322</v>
      </c>
      <c r="Y18" s="102">
        <f t="shared" si="11"/>
        <v>685.09260986387494</v>
      </c>
      <c r="Z18" s="103">
        <f t="shared" si="12"/>
        <v>711.86970029785357</v>
      </c>
      <c r="AA18" s="105">
        <f t="shared" si="13"/>
        <v>1087.4894874910219</v>
      </c>
      <c r="AB18" s="100">
        <f t="shared" si="13"/>
        <v>1129.8391761989665</v>
      </c>
      <c r="AC18" s="100">
        <f t="shared" si="13"/>
        <v>1174.1898157816743</v>
      </c>
      <c r="AD18" s="125">
        <v>2.8778588195433534E-4</v>
      </c>
      <c r="AE18" s="125">
        <v>2.9615914999529038E-4</v>
      </c>
      <c r="AF18" s="125">
        <v>3.0658601973864737E-4</v>
      </c>
      <c r="AG18" s="142">
        <f t="shared" si="14"/>
        <v>1.9465574599275456E-4</v>
      </c>
      <c r="AH18" s="142">
        <f t="shared" si="15"/>
        <v>2.0028354969556326E-4</v>
      </c>
      <c r="AI18" s="142">
        <f t="shared" si="16"/>
        <v>2.0731702460184413E-4</v>
      </c>
      <c r="AK18" s="106"/>
      <c r="AL18" s="106"/>
    </row>
    <row r="19" spans="1:48" ht="15.75" x14ac:dyDescent="0.25">
      <c r="A19" s="95">
        <v>5</v>
      </c>
      <c r="B19" s="96" t="s">
        <v>142</v>
      </c>
      <c r="C19" s="97">
        <v>1262</v>
      </c>
      <c r="D19" s="98">
        <v>3895.0648571428565</v>
      </c>
      <c r="E19" s="99">
        <v>4200.1310000000003</v>
      </c>
      <c r="F19" s="73">
        <v>1963.639714285714</v>
      </c>
      <c r="G19" s="100">
        <f t="shared" si="1"/>
        <v>322.99809292417859</v>
      </c>
      <c r="H19" s="100">
        <f t="shared" si="2"/>
        <v>335.85930382316548</v>
      </c>
      <c r="I19" s="101">
        <f t="shared" si="3"/>
        <v>349.25720678078272</v>
      </c>
      <c r="J19" s="98">
        <v>6.1050000000000004</v>
      </c>
      <c r="K19" s="99">
        <v>9.6319999999999997</v>
      </c>
      <c r="L19" s="99">
        <v>3.0489999999999999</v>
      </c>
      <c r="M19" s="102">
        <f t="shared" si="4"/>
        <v>6.1332805870928819</v>
      </c>
      <c r="N19" s="102">
        <f t="shared" si="5"/>
        <v>6.3594350533146384</v>
      </c>
      <c r="O19" s="103">
        <f t="shared" si="6"/>
        <v>6.6034250452636636</v>
      </c>
      <c r="P19" s="98">
        <v>17.094000000000001</v>
      </c>
      <c r="Q19" s="99">
        <v>23.138000000000002</v>
      </c>
      <c r="R19" s="100">
        <f t="shared" si="7"/>
        <v>19.948683732076603</v>
      </c>
      <c r="S19" s="100">
        <f t="shared" si="8"/>
        <v>20.702447334699034</v>
      </c>
      <c r="T19" s="100">
        <f t="shared" si="9"/>
        <v>21.480525892244771</v>
      </c>
      <c r="U19" s="98">
        <v>1155</v>
      </c>
      <c r="V19" s="99">
        <v>989.61800000000005</v>
      </c>
      <c r="W19" s="99">
        <v>403.30599999999998</v>
      </c>
      <c r="X19" s="102">
        <f t="shared" si="10"/>
        <v>930.57464972716775</v>
      </c>
      <c r="Y19" s="102">
        <f t="shared" si="11"/>
        <v>966.70941940770831</v>
      </c>
      <c r="Z19" s="103">
        <f t="shared" si="12"/>
        <v>1004.4936038729335</v>
      </c>
      <c r="AA19" s="105">
        <f t="shared" si="13"/>
        <v>1279.6547069705159</v>
      </c>
      <c r="AB19" s="100">
        <f t="shared" si="13"/>
        <v>1329.6306056188873</v>
      </c>
      <c r="AC19" s="100">
        <f t="shared" si="13"/>
        <v>1381.8347615912246</v>
      </c>
      <c r="AD19" s="125">
        <v>2.2094511026216274E-4</v>
      </c>
      <c r="AE19" s="125">
        <v>2.1644219029208522E-4</v>
      </c>
      <c r="AF19" s="125">
        <v>2.1310352976048683E-4</v>
      </c>
      <c r="AG19" s="142">
        <f t="shared" si="14"/>
        <v>1.8853340480882227E-4</v>
      </c>
      <c r="AH19" s="142">
        <f t="shared" si="15"/>
        <v>1.8467787155468024E-4</v>
      </c>
      <c r="AI19" s="142">
        <f t="shared" si="16"/>
        <v>1.8181491588437675E-4</v>
      </c>
      <c r="AK19" s="106"/>
      <c r="AL19" s="106"/>
    </row>
    <row r="20" spans="1:48" ht="15.75" x14ac:dyDescent="0.25">
      <c r="A20" s="95">
        <v>6</v>
      </c>
      <c r="B20" s="96" t="s">
        <v>143</v>
      </c>
      <c r="C20" s="97">
        <v>1206</v>
      </c>
      <c r="D20" s="98">
        <v>2873.3232857142857</v>
      </c>
      <c r="E20" s="99">
        <v>3142.3361428571425</v>
      </c>
      <c r="F20" s="73">
        <v>1876.3571428571427</v>
      </c>
      <c r="G20" s="100">
        <f t="shared" si="1"/>
        <v>262.04188226490248</v>
      </c>
      <c r="H20" s="100">
        <f t="shared" si="2"/>
        <v>272.47592502244754</v>
      </c>
      <c r="I20" s="101">
        <f t="shared" si="3"/>
        <v>283.3453752957675</v>
      </c>
      <c r="J20" s="98">
        <v>15.702999999999999</v>
      </c>
      <c r="K20" s="99">
        <v>33.302999999999997</v>
      </c>
      <c r="L20" s="99">
        <v>45.587000000000003</v>
      </c>
      <c r="M20" s="102">
        <f t="shared" si="4"/>
        <v>27.529382616413482</v>
      </c>
      <c r="N20" s="102">
        <f t="shared" si="5"/>
        <v>28.544482568652988</v>
      </c>
      <c r="O20" s="103">
        <f t="shared" si="6"/>
        <v>29.639637722173219</v>
      </c>
      <c r="P20" s="98">
        <v>59.837000000000003</v>
      </c>
      <c r="Q20" s="99">
        <v>115.456</v>
      </c>
      <c r="R20" s="100">
        <f t="shared" si="7"/>
        <v>91.608827937094816</v>
      </c>
      <c r="S20" s="100">
        <f t="shared" si="8"/>
        <v>95.070279384482873</v>
      </c>
      <c r="T20" s="100">
        <f t="shared" si="9"/>
        <v>98.643390555980204</v>
      </c>
      <c r="U20" s="98">
        <v>523.37199999999996</v>
      </c>
      <c r="V20" s="99">
        <v>474.95</v>
      </c>
      <c r="W20" s="99">
        <v>256.69900000000001</v>
      </c>
      <c r="X20" s="102">
        <f t="shared" si="10"/>
        <v>490.27005691751822</v>
      </c>
      <c r="Y20" s="102">
        <f t="shared" si="11"/>
        <v>509.30753617098173</v>
      </c>
      <c r="Z20" s="103">
        <f t="shared" si="12"/>
        <v>529.21400393665647</v>
      </c>
      <c r="AA20" s="105">
        <f t="shared" si="13"/>
        <v>871.45014973592902</v>
      </c>
      <c r="AB20" s="100">
        <f t="shared" si="13"/>
        <v>905.3982231465651</v>
      </c>
      <c r="AC20" s="100">
        <f t="shared" si="13"/>
        <v>940.84240751057746</v>
      </c>
      <c r="AD20" s="125">
        <v>1.082528879872118E-4</v>
      </c>
      <c r="AE20" s="125">
        <v>1.0947662361431952E-4</v>
      </c>
      <c r="AF20" s="125">
        <v>1.1179201561205867E-4</v>
      </c>
      <c r="AG20" s="142">
        <f t="shared" si="14"/>
        <v>6.5827173082770398E-5</v>
      </c>
      <c r="AH20" s="142">
        <f t="shared" si="15"/>
        <v>6.6560261112746144E-5</v>
      </c>
      <c r="AI20" s="142">
        <f t="shared" si="16"/>
        <v>6.795516490214536E-5</v>
      </c>
      <c r="AK20" s="106"/>
      <c r="AL20" s="106"/>
    </row>
    <row r="21" spans="1:48" ht="15.75" x14ac:dyDescent="0.25">
      <c r="A21" s="95">
        <v>7</v>
      </c>
      <c r="B21" s="96" t="s">
        <v>144</v>
      </c>
      <c r="C21" s="97">
        <v>1133</v>
      </c>
      <c r="D21" s="98">
        <v>2996.9427142857144</v>
      </c>
      <c r="E21" s="99">
        <v>3798.4978571428564</v>
      </c>
      <c r="F21" s="73">
        <v>2183.3269999999998</v>
      </c>
      <c r="G21" s="100">
        <f t="shared" si="1"/>
        <v>299.09559421845898</v>
      </c>
      <c r="H21" s="100">
        <f t="shared" si="2"/>
        <v>311.00505003405226</v>
      </c>
      <c r="I21" s="101">
        <f t="shared" si="3"/>
        <v>323.41148163279996</v>
      </c>
      <c r="J21" s="98">
        <v>31.69</v>
      </c>
      <c r="K21" s="99">
        <v>38.817999999999998</v>
      </c>
      <c r="L21" s="99">
        <v>76.747</v>
      </c>
      <c r="M21" s="102">
        <f t="shared" si="4"/>
        <v>41.94192618713533</v>
      </c>
      <c r="N21" s="102">
        <f t="shared" si="5"/>
        <v>43.488464584404362</v>
      </c>
      <c r="O21" s="103">
        <f t="shared" si="6"/>
        <v>45.156969732246672</v>
      </c>
      <c r="P21" s="98">
        <v>47.058999999999997</v>
      </c>
      <c r="Q21" s="99">
        <v>30.795999999999999</v>
      </c>
      <c r="R21" s="100">
        <f t="shared" si="7"/>
        <v>34.124789509077459</v>
      </c>
      <c r="S21" s="100">
        <f t="shared" si="8"/>
        <v>35.414199107452845</v>
      </c>
      <c r="T21" s="100">
        <f t="shared" si="9"/>
        <v>36.74520256384033</v>
      </c>
      <c r="U21" s="98">
        <v>484.71600000000001</v>
      </c>
      <c r="V21" s="99">
        <v>386.65100000000001</v>
      </c>
      <c r="W21" s="99">
        <v>226.23099999999999</v>
      </c>
      <c r="X21" s="102">
        <f t="shared" si="10"/>
        <v>428.13488872886694</v>
      </c>
      <c r="Y21" s="102">
        <f t="shared" si="11"/>
        <v>444.75962227491533</v>
      </c>
      <c r="Z21" s="103">
        <f t="shared" si="12"/>
        <v>462.14321166935343</v>
      </c>
      <c r="AA21" s="105">
        <f t="shared" si="13"/>
        <v>803.29719864353876</v>
      </c>
      <c r="AB21" s="100">
        <f t="shared" si="13"/>
        <v>834.66733600082478</v>
      </c>
      <c r="AC21" s="100">
        <f t="shared" si="13"/>
        <v>867.45686559824037</v>
      </c>
      <c r="AD21" s="125">
        <v>3.587056402975017E-3</v>
      </c>
      <c r="AE21" s="125">
        <v>3.6764057078918925E-3</v>
      </c>
      <c r="AF21" s="125">
        <v>3.7371497526723454E-3</v>
      </c>
      <c r="AG21" s="142">
        <f t="shared" si="14"/>
        <v>2.1402032571682592E-3</v>
      </c>
      <c r="AH21" s="142">
        <f t="shared" si="15"/>
        <v>2.1933514802253656E-3</v>
      </c>
      <c r="AI21" s="142">
        <f t="shared" si="16"/>
        <v>2.2294646319636784E-3</v>
      </c>
      <c r="AK21" s="106"/>
      <c r="AL21" s="106"/>
    </row>
    <row r="22" spans="1:48" ht="15.75" x14ac:dyDescent="0.25">
      <c r="A22" s="95">
        <v>8</v>
      </c>
      <c r="B22" s="96" t="s">
        <v>145</v>
      </c>
      <c r="C22" s="97">
        <v>6801</v>
      </c>
      <c r="D22" s="98">
        <v>67318.379714285693</v>
      </c>
      <c r="E22" s="99">
        <v>82763.427714285674</v>
      </c>
      <c r="F22" s="73">
        <v>38814.411857142855</v>
      </c>
      <c r="G22" s="100">
        <f t="shared" si="1"/>
        <v>6110.0194739503559</v>
      </c>
      <c r="H22" s="100">
        <f t="shared" si="2"/>
        <v>6353.3096071519749</v>
      </c>
      <c r="I22" s="101">
        <f t="shared" si="3"/>
        <v>6606.7521189638164</v>
      </c>
      <c r="J22" s="98">
        <v>67.266999999999996</v>
      </c>
      <c r="K22" s="99">
        <v>87.350999999999999</v>
      </c>
      <c r="L22" s="99">
        <v>204.07900000000001</v>
      </c>
      <c r="M22" s="102">
        <f t="shared" si="4"/>
        <v>100.30358970903173</v>
      </c>
      <c r="N22" s="102">
        <f t="shared" si="5"/>
        <v>104.00211686242976</v>
      </c>
      <c r="O22" s="103">
        <f t="shared" si="6"/>
        <v>107.99232596798855</v>
      </c>
      <c r="P22" s="98">
        <v>437.99</v>
      </c>
      <c r="Q22" s="99">
        <v>154.84299999999999</v>
      </c>
      <c r="R22" s="100">
        <f t="shared" si="7"/>
        <v>234.32488330872519</v>
      </c>
      <c r="S22" s="100">
        <f t="shared" si="8"/>
        <v>243.17887942190532</v>
      </c>
      <c r="T22" s="100">
        <f t="shared" si="9"/>
        <v>252.31848831292996</v>
      </c>
      <c r="U22" s="98">
        <v>6693.5564599999998</v>
      </c>
      <c r="V22" s="99">
        <v>7397.3054800000009</v>
      </c>
      <c r="W22" s="99">
        <v>3263.7130000000002</v>
      </c>
      <c r="X22" s="102">
        <f t="shared" si="10"/>
        <v>6665.4202621651348</v>
      </c>
      <c r="Y22" s="102">
        <f t="shared" si="11"/>
        <v>6924.2425136287438</v>
      </c>
      <c r="Z22" s="103">
        <f t="shared" si="12"/>
        <v>7194.8790163507292</v>
      </c>
      <c r="AA22" s="105">
        <f t="shared" si="13"/>
        <v>13110.068209133247</v>
      </c>
      <c r="AB22" s="100">
        <f t="shared" si="13"/>
        <v>13624.733117065052</v>
      </c>
      <c r="AC22" s="100">
        <f t="shared" si="13"/>
        <v>14161.941949595464</v>
      </c>
      <c r="AD22" s="125">
        <v>0.37600267374231544</v>
      </c>
      <c r="AE22" s="125">
        <v>0.37173649441241569</v>
      </c>
      <c r="AF22" s="125">
        <v>0.37158116984768508</v>
      </c>
      <c r="AG22" s="142">
        <f t="shared" si="14"/>
        <v>0.60994908212313037</v>
      </c>
      <c r="AH22" s="142">
        <f t="shared" si="15"/>
        <v>0.60310332168266512</v>
      </c>
      <c r="AI22" s="142">
        <f t="shared" si="16"/>
        <v>0.60290077214243065</v>
      </c>
      <c r="AK22" s="106"/>
      <c r="AL22" s="106"/>
    </row>
    <row r="23" spans="1:48" ht="15.75" x14ac:dyDescent="0.25">
      <c r="A23" s="95">
        <v>9</v>
      </c>
      <c r="B23" s="96" t="s">
        <v>146</v>
      </c>
      <c r="C23" s="97">
        <v>1683</v>
      </c>
      <c r="D23" s="98">
        <v>4130.4405714285704</v>
      </c>
      <c r="E23" s="99">
        <v>4476.8225714285709</v>
      </c>
      <c r="F23" s="73">
        <v>2572.529428571429</v>
      </c>
      <c r="G23" s="100">
        <f t="shared" si="1"/>
        <v>369.0264741738211</v>
      </c>
      <c r="H23" s="100">
        <f t="shared" si="2"/>
        <v>383.72045353664407</v>
      </c>
      <c r="I23" s="101">
        <f t="shared" si="3"/>
        <v>399.02760549228464</v>
      </c>
      <c r="J23" s="98">
        <v>17.974</v>
      </c>
      <c r="K23" s="99">
        <v>15.865</v>
      </c>
      <c r="L23" s="99">
        <v>0.61199999999999999</v>
      </c>
      <c r="M23" s="102">
        <f t="shared" si="4"/>
        <v>11.684085071311376</v>
      </c>
      <c r="N23" s="102">
        <f t="shared" si="5"/>
        <v>12.114916171416725</v>
      </c>
      <c r="O23" s="103">
        <f t="shared" si="6"/>
        <v>12.579724487618714</v>
      </c>
      <c r="P23" s="98">
        <v>42.043999999999997</v>
      </c>
      <c r="Q23" s="99">
        <v>47.502069999999996</v>
      </c>
      <c r="R23" s="100">
        <f t="shared" si="7"/>
        <v>43.11997450474145</v>
      </c>
      <c r="S23" s="100">
        <f t="shared" si="8"/>
        <v>44.74926833506165</v>
      </c>
      <c r="T23" s="100">
        <f t="shared" si="9"/>
        <v>46.431120030876045</v>
      </c>
      <c r="U23" s="98">
        <v>1749.72</v>
      </c>
      <c r="V23" s="99">
        <v>831.25227000000007</v>
      </c>
      <c r="W23" s="99">
        <v>230.42400000000001</v>
      </c>
      <c r="X23" s="102">
        <f t="shared" si="10"/>
        <v>891.6582817592473</v>
      </c>
      <c r="Y23" s="102">
        <f t="shared" si="11"/>
        <v>926.28190561850818</v>
      </c>
      <c r="Z23" s="103">
        <f t="shared" si="12"/>
        <v>962.48596620388389</v>
      </c>
      <c r="AA23" s="105">
        <f t="shared" si="13"/>
        <v>1315.4888155091212</v>
      </c>
      <c r="AB23" s="100">
        <f t="shared" si="13"/>
        <v>1366.8665436616307</v>
      </c>
      <c r="AC23" s="100">
        <f t="shared" si="13"/>
        <v>1420.5244162146632</v>
      </c>
      <c r="AD23" s="125">
        <v>7.8377004088647773E-4</v>
      </c>
      <c r="AE23" s="125">
        <v>7.6779659949703693E-4</v>
      </c>
      <c r="AF23" s="125">
        <v>7.559531959555328E-4</v>
      </c>
      <c r="AG23" s="142">
        <f t="shared" si="14"/>
        <v>5.1553977226320615E-4</v>
      </c>
      <c r="AH23" s="142">
        <f t="shared" si="15"/>
        <v>5.0499778596609383E-4</v>
      </c>
      <c r="AI23" s="142">
        <f t="shared" si="16"/>
        <v>4.9716620729116053E-4</v>
      </c>
      <c r="AK23" s="106"/>
      <c r="AL23" s="106"/>
    </row>
    <row r="24" spans="1:48" ht="15.75" x14ac:dyDescent="0.25">
      <c r="A24" s="95">
        <v>10</v>
      </c>
      <c r="B24" s="96" t="s">
        <v>147</v>
      </c>
      <c r="C24" s="97">
        <v>1366</v>
      </c>
      <c r="D24" s="98">
        <v>3949.1971428571428</v>
      </c>
      <c r="E24" s="99">
        <v>4744.204285714286</v>
      </c>
      <c r="F24" s="73">
        <v>3179.382857142858</v>
      </c>
      <c r="G24" s="100">
        <f t="shared" si="1"/>
        <v>403.17206718028979</v>
      </c>
      <c r="H24" s="100">
        <f t="shared" si="2"/>
        <v>419.22566346515526</v>
      </c>
      <c r="I24" s="101">
        <f t="shared" si="3"/>
        <v>435.94916849393405</v>
      </c>
      <c r="J24" s="98">
        <v>36.286999999999999</v>
      </c>
      <c r="K24" s="99">
        <v>29.88</v>
      </c>
      <c r="L24" s="99">
        <v>14.375</v>
      </c>
      <c r="M24" s="102">
        <f t="shared" si="4"/>
        <v>25.861206178296417</v>
      </c>
      <c r="N24" s="102">
        <f t="shared" si="5"/>
        <v>26.814794913729703</v>
      </c>
      <c r="O24" s="103">
        <f t="shared" si="6"/>
        <v>27.843587808108833</v>
      </c>
      <c r="P24" s="98">
        <v>80.432000000000002</v>
      </c>
      <c r="Q24" s="99">
        <v>33.157120000000006</v>
      </c>
      <c r="R24" s="100">
        <f t="shared" si="7"/>
        <v>46.015281711786074</v>
      </c>
      <c r="S24" s="100">
        <f t="shared" si="8"/>
        <v>47.753975100512804</v>
      </c>
      <c r="T24" s="100">
        <f t="shared" si="9"/>
        <v>49.548755372746839</v>
      </c>
      <c r="U24" s="98">
        <v>818.36199999999997</v>
      </c>
      <c r="V24" s="99">
        <v>890.096</v>
      </c>
      <c r="W24" s="99">
        <v>120.51900000000001</v>
      </c>
      <c r="X24" s="102">
        <f t="shared" si="10"/>
        <v>583.15740124127922</v>
      </c>
      <c r="Y24" s="102">
        <f t="shared" si="11"/>
        <v>605.80175157634824</v>
      </c>
      <c r="Z24" s="103">
        <f t="shared" si="12"/>
        <v>629.47973036850851</v>
      </c>
      <c r="AA24" s="105">
        <f t="shared" si="13"/>
        <v>1058.2059563116513</v>
      </c>
      <c r="AB24" s="100">
        <f t="shared" si="13"/>
        <v>1099.596185055746</v>
      </c>
      <c r="AC24" s="100">
        <f t="shared" si="13"/>
        <v>1142.8212420432983</v>
      </c>
      <c r="AD24" s="125">
        <v>2.8604915494218633E-4</v>
      </c>
      <c r="AE24" s="125">
        <v>2.8863507721800768E-4</v>
      </c>
      <c r="AF24" s="125">
        <v>2.6268436360766189E-4</v>
      </c>
      <c r="AG24" s="142">
        <f t="shared" si="14"/>
        <v>1.8647930587924666E-4</v>
      </c>
      <c r="AH24" s="142">
        <f t="shared" si="15"/>
        <v>1.881624356458686E-4</v>
      </c>
      <c r="AI24" s="142">
        <f t="shared" si="16"/>
        <v>1.7123949334987306E-4</v>
      </c>
      <c r="AK24" s="106"/>
      <c r="AL24" s="106"/>
    </row>
    <row r="25" spans="1:48" ht="15.75" x14ac:dyDescent="0.25">
      <c r="A25" s="95">
        <v>11</v>
      </c>
      <c r="B25" s="96" t="s">
        <v>148</v>
      </c>
      <c r="C25" s="97">
        <v>1378</v>
      </c>
      <c r="D25" s="98">
        <v>2764.4021428571427</v>
      </c>
      <c r="E25" s="99">
        <v>3963.9744285714287</v>
      </c>
      <c r="F25" s="73">
        <v>2090.9871428571423</v>
      </c>
      <c r="G25" s="100">
        <f t="shared" si="1"/>
        <v>292.17347367015549</v>
      </c>
      <c r="H25" s="100">
        <f t="shared" si="2"/>
        <v>303.8073029288426</v>
      </c>
      <c r="I25" s="101">
        <f t="shared" si="3"/>
        <v>315.92660620888267</v>
      </c>
      <c r="J25" s="98">
        <v>300.60300000000001</v>
      </c>
      <c r="K25" s="99">
        <v>385.64499999999998</v>
      </c>
      <c r="L25" s="99">
        <v>400.17500000000001</v>
      </c>
      <c r="M25" s="102">
        <f t="shared" si="4"/>
        <v>328.28349614361025</v>
      </c>
      <c r="N25" s="102">
        <f t="shared" si="5"/>
        <v>340.38840114274069</v>
      </c>
      <c r="O25" s="103">
        <f t="shared" si="6"/>
        <v>353.44795164653442</v>
      </c>
      <c r="P25" s="98">
        <v>8.6180000000000003</v>
      </c>
      <c r="Q25" s="99">
        <v>7.9660000000000002</v>
      </c>
      <c r="R25" s="100">
        <f t="shared" si="7"/>
        <v>7.7194718530431095</v>
      </c>
      <c r="S25" s="100">
        <f t="shared" si="8"/>
        <v>8.0111530984044812</v>
      </c>
      <c r="T25" s="100">
        <f t="shared" si="9"/>
        <v>8.3122434161968641</v>
      </c>
      <c r="U25" s="98">
        <v>612.61599999999999</v>
      </c>
      <c r="V25" s="99">
        <v>585.53718000000003</v>
      </c>
      <c r="W25" s="99">
        <v>258.45999999999998</v>
      </c>
      <c r="X25" s="102">
        <f t="shared" si="10"/>
        <v>548.77418821662707</v>
      </c>
      <c r="Y25" s="102">
        <f t="shared" si="11"/>
        <v>570.08341784548838</v>
      </c>
      <c r="Z25" s="103">
        <f t="shared" si="12"/>
        <v>592.36533274980104</v>
      </c>
      <c r="AA25" s="105">
        <f t="shared" si="13"/>
        <v>1176.9506298834358</v>
      </c>
      <c r="AB25" s="100">
        <f t="shared" si="13"/>
        <v>1222.2902750154763</v>
      </c>
      <c r="AC25" s="100">
        <f t="shared" si="13"/>
        <v>1270.052134021415</v>
      </c>
      <c r="AD25" s="125">
        <v>1.2941170250821948E-3</v>
      </c>
      <c r="AE25" s="125">
        <v>1.2935491455879943E-3</v>
      </c>
      <c r="AF25" s="125">
        <v>1.3018126471862879E-3</v>
      </c>
      <c r="AG25" s="142">
        <f t="shared" si="14"/>
        <v>9.3015013045997716E-4</v>
      </c>
      <c r="AH25" s="142">
        <f t="shared" si="15"/>
        <v>9.2920034931608553E-4</v>
      </c>
      <c r="AI25" s="142">
        <f t="shared" si="16"/>
        <v>9.348951887563191E-4</v>
      </c>
      <c r="AK25" s="106"/>
      <c r="AL25" s="106"/>
    </row>
    <row r="26" spans="1:48" ht="15.75" x14ac:dyDescent="0.25">
      <c r="A26" s="95">
        <v>12</v>
      </c>
      <c r="B26" s="96" t="s">
        <v>149</v>
      </c>
      <c r="C26" s="97">
        <v>1121</v>
      </c>
      <c r="D26" s="98">
        <v>2997.5316999999995</v>
      </c>
      <c r="E26" s="99">
        <v>3701.2762857142857</v>
      </c>
      <c r="F26" s="73">
        <v>1447.9664285714287</v>
      </c>
      <c r="G26" s="100">
        <f t="shared" si="1"/>
        <v>257.6768954668342</v>
      </c>
      <c r="H26" s="100">
        <f t="shared" si="2"/>
        <v>267.93713219576466</v>
      </c>
      <c r="I26" s="101">
        <f t="shared" si="3"/>
        <v>278.62552359965798</v>
      </c>
      <c r="J26" s="98">
        <v>17.456</v>
      </c>
      <c r="K26" s="99">
        <v>30.417000000000002</v>
      </c>
      <c r="L26" s="99">
        <v>12.12</v>
      </c>
      <c r="M26" s="102">
        <f t="shared" si="4"/>
        <v>19.345309092404172</v>
      </c>
      <c r="N26" s="102">
        <f t="shared" si="5"/>
        <v>20.058635017993574</v>
      </c>
      <c r="O26" s="103">
        <f t="shared" si="6"/>
        <v>20.828216931405489</v>
      </c>
      <c r="P26" s="98">
        <v>37.634</v>
      </c>
      <c r="Q26" s="99">
        <v>34.61</v>
      </c>
      <c r="R26" s="100">
        <f t="shared" si="7"/>
        <v>33.59849366286452</v>
      </c>
      <c r="S26" s="100">
        <f t="shared" si="8"/>
        <v>34.868017104417994</v>
      </c>
      <c r="T26" s="100">
        <f t="shared" si="9"/>
        <v>36.178492915053837</v>
      </c>
      <c r="U26" s="98">
        <v>879.08399999999995</v>
      </c>
      <c r="V26" s="99">
        <v>1365.3620000000001</v>
      </c>
      <c r="W26" s="99">
        <v>322.85700000000003</v>
      </c>
      <c r="X26" s="102">
        <f t="shared" si="10"/>
        <v>911.39007939071655</v>
      </c>
      <c r="Y26" s="102">
        <f t="shared" si="11"/>
        <v>946.77990074203808</v>
      </c>
      <c r="Z26" s="103">
        <f t="shared" si="12"/>
        <v>983.78513282048687</v>
      </c>
      <c r="AA26" s="105">
        <f t="shared" si="13"/>
        <v>1222.0107776128195</v>
      </c>
      <c r="AB26" s="100">
        <f t="shared" si="13"/>
        <v>1269.6436850602142</v>
      </c>
      <c r="AC26" s="100">
        <f t="shared" si="13"/>
        <v>1319.4173662666042</v>
      </c>
      <c r="AD26" s="125">
        <v>6.7658054992007389E-5</v>
      </c>
      <c r="AE26" s="125">
        <v>7.1328573849934766E-5</v>
      </c>
      <c r="AF26" s="125">
        <v>7.1661548469268365E-5</v>
      </c>
      <c r="AG26" s="104">
        <f t="shared" si="14"/>
        <v>6.2066807137000233E-5</v>
      </c>
      <c r="AH26" s="142">
        <f t="shared" si="15"/>
        <v>6.5424600177770806E-5</v>
      </c>
      <c r="AI26" s="142">
        <f t="shared" si="16"/>
        <v>6.5721108353154252E-5</v>
      </c>
      <c r="AK26" s="106"/>
      <c r="AL26" s="106"/>
    </row>
    <row r="27" spans="1:48" ht="34.5" customHeight="1" x14ac:dyDescent="0.2">
      <c r="A27" s="107" t="s">
        <v>130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AA27" s="108"/>
      <c r="AB27" s="108"/>
      <c r="AC27" s="108"/>
      <c r="AD27" s="108"/>
      <c r="AE27" s="108"/>
      <c r="AF27" s="108"/>
      <c r="AK27" s="106"/>
      <c r="AL27" s="106"/>
    </row>
    <row r="28" spans="1:48" ht="29.25" customHeight="1" x14ac:dyDescent="0.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AA28" s="108"/>
      <c r="AB28" s="108"/>
      <c r="AC28" s="108"/>
      <c r="AD28" s="108"/>
      <c r="AE28" s="108"/>
      <c r="AF28" s="108"/>
      <c r="AK28" s="106"/>
      <c r="AL28" s="106"/>
    </row>
    <row r="29" spans="1:48" ht="50.25" customHeight="1" x14ac:dyDescent="0.2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6"/>
      <c r="AL29" s="106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</row>
    <row r="30" spans="1:48" x14ac:dyDescent="0.2">
      <c r="B30" s="110"/>
      <c r="C30" s="109"/>
      <c r="D30" s="109"/>
      <c r="E30" s="109"/>
      <c r="F30" s="108"/>
      <c r="G30" s="108"/>
      <c r="H30" s="108"/>
      <c r="I30" s="108"/>
      <c r="J30" s="109"/>
      <c r="K30" s="109"/>
      <c r="L30" s="109"/>
      <c r="M30" s="109"/>
      <c r="N30" s="109"/>
      <c r="O30" s="109"/>
      <c r="P30" s="109"/>
      <c r="Q30" s="109"/>
    </row>
    <row r="31" spans="1:48" x14ac:dyDescent="0.2">
      <c r="B31" s="71"/>
      <c r="C31" s="109"/>
      <c r="D31" s="109"/>
      <c r="E31" s="109"/>
      <c r="F31" s="108"/>
      <c r="G31" s="108"/>
      <c r="H31" s="108"/>
      <c r="I31" s="108"/>
      <c r="J31" s="109"/>
      <c r="K31" s="109"/>
      <c r="L31" s="109"/>
      <c r="M31" s="109"/>
      <c r="N31" s="109"/>
      <c r="O31" s="109"/>
      <c r="P31" s="109"/>
      <c r="Q31" s="109"/>
    </row>
    <row r="32" spans="1:48" x14ac:dyDescent="0.2">
      <c r="D32" s="74"/>
      <c r="E32" s="74"/>
      <c r="F32" s="111"/>
      <c r="G32" s="111"/>
      <c r="H32" s="111"/>
      <c r="I32" s="111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D33" s="74"/>
      <c r="E33" s="74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2:17" x14ac:dyDescent="0.2">
      <c r="B34" s="71"/>
      <c r="D34" s="74"/>
      <c r="E34" s="74"/>
      <c r="F34" s="113"/>
      <c r="G34" s="113"/>
      <c r="H34" s="113"/>
      <c r="I34" s="113"/>
      <c r="J34" s="109"/>
      <c r="K34" s="109"/>
      <c r="L34" s="109"/>
      <c r="M34" s="109"/>
      <c r="N34" s="109"/>
      <c r="O34" s="109"/>
      <c r="P34" s="109"/>
      <c r="Q34" s="109"/>
    </row>
    <row r="35" spans="2:17" x14ac:dyDescent="0.2">
      <c r="D35" s="74"/>
      <c r="E35" s="74"/>
      <c r="J35" s="109"/>
      <c r="K35" s="76"/>
      <c r="Q35" s="109"/>
    </row>
    <row r="36" spans="2:17" x14ac:dyDescent="0.2">
      <c r="D36" s="74"/>
      <c r="E36" s="74"/>
      <c r="K36" s="76"/>
    </row>
    <row r="37" spans="2:17" x14ac:dyDescent="0.2">
      <c r="D37" s="74"/>
      <c r="E37" s="74"/>
      <c r="K37" s="76"/>
    </row>
    <row r="38" spans="2:17" x14ac:dyDescent="0.2">
      <c r="D38" s="74"/>
      <c r="E38" s="74"/>
    </row>
    <row r="39" spans="2:17" x14ac:dyDescent="0.2">
      <c r="B39" s="74" t="s">
        <v>131</v>
      </c>
    </row>
    <row r="40" spans="2:17" x14ac:dyDescent="0.2">
      <c r="B40" s="114"/>
      <c r="C40" s="114"/>
    </row>
  </sheetData>
  <mergeCells count="33">
    <mergeCell ref="B1:AI1"/>
    <mergeCell ref="B6:B8"/>
    <mergeCell ref="C6:C8"/>
    <mergeCell ref="D6:D8"/>
    <mergeCell ref="E6:E8"/>
    <mergeCell ref="B2:C3"/>
    <mergeCell ref="V6:V8"/>
    <mergeCell ref="A4:AI4"/>
    <mergeCell ref="P6:P8"/>
    <mergeCell ref="Q6:Q8"/>
    <mergeCell ref="W6:W8"/>
    <mergeCell ref="X6:Z6"/>
    <mergeCell ref="L6:L8"/>
    <mergeCell ref="M6:O6"/>
    <mergeCell ref="R6:T6"/>
    <mergeCell ref="U6:U8"/>
    <mergeCell ref="AG11:AI12"/>
    <mergeCell ref="G12:I12"/>
    <mergeCell ref="M12:O12"/>
    <mergeCell ref="AD11:AF12"/>
    <mergeCell ref="R12:T12"/>
    <mergeCell ref="P11:T11"/>
    <mergeCell ref="X12:Z12"/>
    <mergeCell ref="AA11:AC12"/>
    <mergeCell ref="U11:Z11"/>
    <mergeCell ref="K6:K8"/>
    <mergeCell ref="F6:F8"/>
    <mergeCell ref="G6:I6"/>
    <mergeCell ref="J6:J8"/>
    <mergeCell ref="A11:A13"/>
    <mergeCell ref="B11:B13"/>
    <mergeCell ref="D11:I11"/>
    <mergeCell ref="J11:O11"/>
  </mergeCells>
  <phoneticPr fontId="83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6" sqref="D6:G6"/>
    </sheetView>
  </sheetViews>
  <sheetFormatPr defaultRowHeight="12.75" x14ac:dyDescent="0.2"/>
  <cols>
    <col min="2" max="2" width="45" customWidth="1"/>
    <col min="3" max="8" width="17.140625" customWidth="1"/>
  </cols>
  <sheetData>
    <row r="1" spans="1:19" ht="25.5" x14ac:dyDescent="0.35">
      <c r="A1" s="198" t="s">
        <v>102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30.75" x14ac:dyDescent="0.5">
      <c r="A2" s="198" t="s">
        <v>100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20.25" x14ac:dyDescent="0.3">
      <c r="A3" s="199" t="s">
        <v>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19" ht="19.5" thickBot="1" x14ac:dyDescent="0.35">
      <c r="A4" s="197" t="s">
        <v>97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9" ht="27" x14ac:dyDescent="0.45">
      <c r="A5" s="10"/>
      <c r="B5" s="10"/>
      <c r="C5" s="10"/>
      <c r="D5" s="60" t="s">
        <v>93</v>
      </c>
      <c r="E5" s="60" t="s">
        <v>94</v>
      </c>
      <c r="F5" s="60" t="s">
        <v>95</v>
      </c>
      <c r="G5" s="60" t="s">
        <v>96</v>
      </c>
      <c r="H5" s="60" t="s">
        <v>98</v>
      </c>
      <c r="I5" s="66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9.5" thickBot="1" x14ac:dyDescent="0.35">
      <c r="A6" s="10"/>
      <c r="B6" s="10"/>
      <c r="C6" s="10"/>
      <c r="D6" s="61">
        <v>0.43099999999999999</v>
      </c>
      <c r="E6" s="61">
        <v>0.377</v>
      </c>
      <c r="F6" s="61">
        <v>0.13400000000000001</v>
      </c>
      <c r="G6" s="61">
        <v>5.0999999999999997E-2</v>
      </c>
      <c r="H6" s="62">
        <f>1-D6-E6-F6-G6</f>
        <v>6.9999999999999438E-3</v>
      </c>
      <c r="I6" s="67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 customHeight="1" x14ac:dyDescent="0.2">
      <c r="A7" s="189" t="s">
        <v>0</v>
      </c>
      <c r="B7" s="189" t="s">
        <v>5</v>
      </c>
      <c r="C7" s="189" t="s">
        <v>3</v>
      </c>
      <c r="D7" s="189" t="s">
        <v>85</v>
      </c>
      <c r="E7" s="189" t="s">
        <v>91</v>
      </c>
      <c r="F7" s="189" t="s">
        <v>88</v>
      </c>
      <c r="G7" s="189" t="s">
        <v>87</v>
      </c>
      <c r="H7" s="189" t="s">
        <v>136</v>
      </c>
      <c r="I7" s="191" t="s">
        <v>79</v>
      </c>
      <c r="J7" s="192"/>
      <c r="K7" s="192"/>
      <c r="L7" s="192"/>
      <c r="M7" s="193"/>
      <c r="N7" s="194" t="s">
        <v>84</v>
      </c>
      <c r="O7" s="195"/>
      <c r="P7" s="195"/>
      <c r="Q7" s="195"/>
      <c r="R7" s="196"/>
      <c r="S7" s="200" t="s">
        <v>89</v>
      </c>
    </row>
    <row r="8" spans="1:19" ht="63.75" x14ac:dyDescent="0.2">
      <c r="A8" s="190"/>
      <c r="B8" s="190"/>
      <c r="C8" s="190"/>
      <c r="D8" s="190"/>
      <c r="E8" s="190"/>
      <c r="F8" s="190"/>
      <c r="G8" s="190"/>
      <c r="H8" s="190"/>
      <c r="I8" s="41" t="s">
        <v>80</v>
      </c>
      <c r="J8" s="41" t="s">
        <v>92</v>
      </c>
      <c r="K8" s="41" t="s">
        <v>82</v>
      </c>
      <c r="L8" s="41" t="s">
        <v>83</v>
      </c>
      <c r="M8" s="41" t="s">
        <v>99</v>
      </c>
      <c r="N8" s="41" t="s">
        <v>80</v>
      </c>
      <c r="O8" s="41" t="s">
        <v>92</v>
      </c>
      <c r="P8" s="41" t="s">
        <v>82</v>
      </c>
      <c r="Q8" s="41" t="s">
        <v>83</v>
      </c>
      <c r="R8" s="41" t="s">
        <v>99</v>
      </c>
      <c r="S8" s="200"/>
    </row>
    <row r="9" spans="1:19" x14ac:dyDescent="0.2">
      <c r="A9" s="42">
        <f>COUNT(C10:C21)</f>
        <v>12</v>
      </c>
      <c r="B9" s="43" t="s">
        <v>1</v>
      </c>
      <c r="C9" s="44">
        <f>SUM(C10:C21)</f>
        <v>21436</v>
      </c>
      <c r="D9" s="44">
        <v>96227</v>
      </c>
      <c r="E9" s="44">
        <v>84218.1</v>
      </c>
      <c r="F9" s="44">
        <v>29868</v>
      </c>
      <c r="G9" s="44">
        <v>11344.6</v>
      </c>
      <c r="H9" s="44">
        <v>1468.05</v>
      </c>
      <c r="I9" s="56">
        <f t="shared" ref="I9:R9" si="0">MAX(I10:I21)</f>
        <v>7.7877237851662402</v>
      </c>
      <c r="J9" s="56">
        <f t="shared" si="0"/>
        <v>8.3861892583120206</v>
      </c>
      <c r="K9" s="56">
        <f t="shared" si="0"/>
        <v>1.9960299955888841</v>
      </c>
      <c r="L9" s="56">
        <f t="shared" si="0"/>
        <v>1.2811867835468644</v>
      </c>
      <c r="M9" s="56">
        <f t="shared" si="0"/>
        <v>0.40142729705619984</v>
      </c>
      <c r="N9" s="56">
        <f t="shared" si="0"/>
        <v>0.43099999999999999</v>
      </c>
      <c r="O9" s="56">
        <f t="shared" si="0"/>
        <v>0.377</v>
      </c>
      <c r="P9" s="56">
        <f t="shared" si="0"/>
        <v>0.13400000000000001</v>
      </c>
      <c r="Q9" s="56">
        <f t="shared" si="0"/>
        <v>5.0999999999999997E-2</v>
      </c>
      <c r="R9" s="56">
        <f t="shared" si="0"/>
        <v>6.9999999999999438E-3</v>
      </c>
      <c r="S9" s="46"/>
    </row>
    <row r="10" spans="1:19" x14ac:dyDescent="0.2">
      <c r="A10" s="49">
        <v>1</v>
      </c>
      <c r="B10" s="63" t="s">
        <v>138</v>
      </c>
      <c r="C10" s="64">
        <v>1868</v>
      </c>
      <c r="D10" s="64">
        <v>9824</v>
      </c>
      <c r="E10" s="64">
        <v>10780</v>
      </c>
      <c r="F10" s="64">
        <v>2556</v>
      </c>
      <c r="G10" s="64">
        <v>1100</v>
      </c>
      <c r="H10" s="64">
        <v>303</v>
      </c>
      <c r="I10" s="53">
        <f>IF($C10=0, ,D10/$C10)</f>
        <v>5.2591006423982867</v>
      </c>
      <c r="J10" s="53">
        <f>IF($C10=0, ,E10/$C10)</f>
        <v>5.7708779443254814</v>
      </c>
      <c r="K10" s="53">
        <f>IF($C10=0, ,F10/$C10)</f>
        <v>1.3683083511777301</v>
      </c>
      <c r="L10" s="53">
        <f>IF($C10=0, ,G10/$C10)</f>
        <v>0.58886509635974305</v>
      </c>
      <c r="M10" s="53">
        <f>IF($C10=0, ,H10/$C10)</f>
        <v>0.16220556745182013</v>
      </c>
      <c r="N10" s="53">
        <f>I10/I$9*D$6</f>
        <v>0.29105710980545207</v>
      </c>
      <c r="O10" s="53">
        <f>J10/J$9*E$6</f>
        <v>0.25942903480914492</v>
      </c>
      <c r="P10" s="53">
        <f>K10/K$9*F$6</f>
        <v>9.1858999846202993E-2</v>
      </c>
      <c r="Q10" s="53">
        <f>L10/L$9*G$6</f>
        <v>2.3440859912092864E-2</v>
      </c>
      <c r="R10" s="53">
        <f>M10/M$9*H$6</f>
        <v>2.8285046395431605E-3</v>
      </c>
      <c r="S10" s="54">
        <f>IF(C10=0,0,N10+O10+P10+Q10+R10)</f>
        <v>0.66861450901243602</v>
      </c>
    </row>
    <row r="11" spans="1:19" x14ac:dyDescent="0.2">
      <c r="A11" s="49">
        <v>2</v>
      </c>
      <c r="B11" s="63" t="s">
        <v>139</v>
      </c>
      <c r="C11" s="64">
        <v>1483</v>
      </c>
      <c r="D11" s="64">
        <v>6927</v>
      </c>
      <c r="E11" s="64">
        <v>5707</v>
      </c>
      <c r="F11" s="64">
        <v>2520</v>
      </c>
      <c r="G11" s="64">
        <v>1900</v>
      </c>
      <c r="H11" s="64">
        <v>0</v>
      </c>
      <c r="I11" s="53">
        <f t="shared" ref="I11:L12" si="1">IF($C11=0, ,D11/$C11)</f>
        <v>4.6709372892784895</v>
      </c>
      <c r="J11" s="53">
        <f t="shared" si="1"/>
        <v>3.8482805124747133</v>
      </c>
      <c r="K11" s="53">
        <f t="shared" si="1"/>
        <v>1.6992582602832098</v>
      </c>
      <c r="L11" s="53">
        <f t="shared" si="1"/>
        <v>1.2811867835468644</v>
      </c>
      <c r="M11" s="53">
        <f t="shared" ref="M11:M21" si="2">IF($C11=0, ,H11/$C11)</f>
        <v>0</v>
      </c>
      <c r="N11" s="53">
        <f t="shared" ref="N11:N21" si="3">I11/I$9*D$6</f>
        <v>0.25850608306289008</v>
      </c>
      <c r="O11" s="53">
        <f t="shared" ref="O11:O21" si="4">J11/J$9*E$6</f>
        <v>0.17299892818004273</v>
      </c>
      <c r="P11" s="53">
        <f t="shared" ref="P11:P21" si="5">K11/K$9*F$6</f>
        <v>0.11407674603145036</v>
      </c>
      <c r="Q11" s="53">
        <f t="shared" ref="Q11:Q21" si="6">L11/L$9*G$6</f>
        <v>5.0999999999999997E-2</v>
      </c>
      <c r="R11" s="53">
        <f t="shared" ref="R11:R21" si="7">M11/M$9*H$6</f>
        <v>0</v>
      </c>
      <c r="S11" s="54">
        <f t="shared" ref="S11:S20" si="8">IF(C11=0,0,N11+O11+P11+Q11+R11)</f>
        <v>0.59658175727438323</v>
      </c>
    </row>
    <row r="12" spans="1:19" x14ac:dyDescent="0.2">
      <c r="A12" s="49">
        <v>3</v>
      </c>
      <c r="B12" s="63" t="s">
        <v>140</v>
      </c>
      <c r="C12" s="64">
        <v>782</v>
      </c>
      <c r="D12" s="64">
        <v>6090</v>
      </c>
      <c r="E12" s="64">
        <v>6558</v>
      </c>
      <c r="F12" s="64">
        <v>899</v>
      </c>
      <c r="G12" s="64">
        <v>0</v>
      </c>
      <c r="H12" s="64">
        <f>310-250</f>
        <v>60</v>
      </c>
      <c r="I12" s="53">
        <f t="shared" si="1"/>
        <v>7.7877237851662402</v>
      </c>
      <c r="J12" s="53">
        <f t="shared" si="1"/>
        <v>8.3861892583120206</v>
      </c>
      <c r="K12" s="53">
        <f t="shared" si="1"/>
        <v>1.1496163682864451</v>
      </c>
      <c r="L12" s="53">
        <f t="shared" si="1"/>
        <v>0</v>
      </c>
      <c r="M12" s="53">
        <f t="shared" si="2"/>
        <v>7.6726342710997444E-2</v>
      </c>
      <c r="N12" s="53">
        <f t="shared" si="3"/>
        <v>0.43099999999999999</v>
      </c>
      <c r="O12" s="53">
        <f t="shared" si="4"/>
        <v>0.377</v>
      </c>
      <c r="P12" s="53">
        <f t="shared" si="5"/>
        <v>7.7177494171341371E-2</v>
      </c>
      <c r="Q12" s="53">
        <f t="shared" si="6"/>
        <v>0</v>
      </c>
      <c r="R12" s="53">
        <f t="shared" si="7"/>
        <v>1.3379369138959824E-3</v>
      </c>
      <c r="S12" s="54">
        <f t="shared" si="8"/>
        <v>0.88651543108523734</v>
      </c>
    </row>
    <row r="13" spans="1:19" x14ac:dyDescent="0.2">
      <c r="A13" s="49">
        <v>4</v>
      </c>
      <c r="B13" s="63" t="s">
        <v>141</v>
      </c>
      <c r="C13" s="64">
        <v>1353</v>
      </c>
      <c r="D13" s="64">
        <v>6565</v>
      </c>
      <c r="E13" s="64">
        <v>7650</v>
      </c>
      <c r="F13" s="64">
        <v>1450</v>
      </c>
      <c r="G13" s="64">
        <v>500</v>
      </c>
      <c r="H13" s="64">
        <v>27.15</v>
      </c>
      <c r="I13" s="53">
        <f t="shared" ref="I13:I21" si="9">IF($C13=0, ,D13/$C13)</f>
        <v>4.8521803399852184</v>
      </c>
      <c r="J13" s="53">
        <f t="shared" ref="J13:J21" si="10">IF($C13=0, ,E13/$C13)</f>
        <v>5.6541019955654104</v>
      </c>
      <c r="K13" s="53">
        <f t="shared" ref="K13:K21" si="11">IF($C13=0, ,F13/$C13)</f>
        <v>1.0716925351071693</v>
      </c>
      <c r="L13" s="53">
        <f t="shared" ref="L13:L21" si="12">IF($C13=0, ,G13/$C13)</f>
        <v>0.36954915003695493</v>
      </c>
      <c r="M13" s="53">
        <f t="shared" si="2"/>
        <v>2.0066518847006651E-2</v>
      </c>
      <c r="N13" s="53">
        <f t="shared" si="3"/>
        <v>0.26853671036934285</v>
      </c>
      <c r="O13" s="53">
        <f t="shared" si="4"/>
        <v>0.25417938788054606</v>
      </c>
      <c r="P13" s="53">
        <f t="shared" si="5"/>
        <v>7.1946213244151527E-2</v>
      </c>
      <c r="Q13" s="53">
        <f t="shared" si="6"/>
        <v>1.4710584665655269E-2</v>
      </c>
      <c r="R13" s="53">
        <f t="shared" si="7"/>
        <v>3.4991549642768868E-4</v>
      </c>
      <c r="S13" s="54">
        <f t="shared" si="8"/>
        <v>0.6097228116561233</v>
      </c>
    </row>
    <row r="14" spans="1:19" x14ac:dyDescent="0.2">
      <c r="A14" s="49">
        <v>5</v>
      </c>
      <c r="B14" s="63" t="s">
        <v>142</v>
      </c>
      <c r="C14" s="64">
        <v>1262</v>
      </c>
      <c r="D14" s="64">
        <v>7500</v>
      </c>
      <c r="E14" s="64">
        <f>10990-800</f>
        <v>10190</v>
      </c>
      <c r="F14" s="64">
        <f>350-250</f>
        <v>100</v>
      </c>
      <c r="G14" s="64">
        <f>100-100</f>
        <v>0</v>
      </c>
      <c r="H14" s="64">
        <v>0</v>
      </c>
      <c r="I14" s="53">
        <f t="shared" si="9"/>
        <v>5.9429477020602217</v>
      </c>
      <c r="J14" s="53">
        <f t="shared" si="10"/>
        <v>8.0744849445324878</v>
      </c>
      <c r="K14" s="53">
        <f t="shared" si="11"/>
        <v>7.9239302694136288E-2</v>
      </c>
      <c r="L14" s="53">
        <f t="shared" si="12"/>
        <v>0</v>
      </c>
      <c r="M14" s="53">
        <f t="shared" si="2"/>
        <v>0</v>
      </c>
      <c r="N14" s="53">
        <f t="shared" si="3"/>
        <v>0.32890360909651584</v>
      </c>
      <c r="O14" s="53">
        <f t="shared" si="4"/>
        <v>0.3629873748760904</v>
      </c>
      <c r="P14" s="53">
        <f t="shared" si="5"/>
        <v>5.3195926837169795E-3</v>
      </c>
      <c r="Q14" s="53">
        <f t="shared" si="6"/>
        <v>0</v>
      </c>
      <c r="R14" s="53">
        <f t="shared" si="7"/>
        <v>0</v>
      </c>
      <c r="S14" s="54">
        <f t="shared" si="8"/>
        <v>0.69721057665632313</v>
      </c>
    </row>
    <row r="15" spans="1:19" x14ac:dyDescent="0.2">
      <c r="A15" s="49">
        <v>6</v>
      </c>
      <c r="B15" s="63" t="s">
        <v>143</v>
      </c>
      <c r="C15" s="64">
        <v>1206</v>
      </c>
      <c r="D15" s="64">
        <v>6973</v>
      </c>
      <c r="E15" s="64">
        <f>5372-299.9</f>
        <v>5072.1000000000004</v>
      </c>
      <c r="F15" s="64">
        <f>2800-1044</f>
        <v>1756</v>
      </c>
      <c r="G15" s="64">
        <v>1000</v>
      </c>
      <c r="H15" s="64">
        <v>142</v>
      </c>
      <c r="I15" s="53">
        <f t="shared" si="9"/>
        <v>5.7819237147595359</v>
      </c>
      <c r="J15" s="53">
        <f t="shared" si="10"/>
        <v>4.2057213930348265</v>
      </c>
      <c r="K15" s="53">
        <f t="shared" si="11"/>
        <v>1.4560530679933665</v>
      </c>
      <c r="L15" s="53">
        <f t="shared" si="12"/>
        <v>0.82918739635157546</v>
      </c>
      <c r="M15" s="53">
        <f t="shared" si="2"/>
        <v>0.11774461028192372</v>
      </c>
      <c r="N15" s="53">
        <f t="shared" si="3"/>
        <v>0.31999197580787903</v>
      </c>
      <c r="O15" s="53">
        <f t="shared" si="4"/>
        <v>0.18906763445656746</v>
      </c>
      <c r="P15" s="53">
        <f t="shared" si="5"/>
        <v>9.7749588704726831E-2</v>
      </c>
      <c r="Q15" s="53">
        <f t="shared" si="6"/>
        <v>3.3007331762241424E-2</v>
      </c>
      <c r="R15" s="53">
        <f t="shared" si="7"/>
        <v>2.0532043486272177E-3</v>
      </c>
      <c r="S15" s="54">
        <f t="shared" si="8"/>
        <v>0.64186973508004197</v>
      </c>
    </row>
    <row r="16" spans="1:19" x14ac:dyDescent="0.2">
      <c r="A16" s="49">
        <v>7</v>
      </c>
      <c r="B16" s="63" t="s">
        <v>144</v>
      </c>
      <c r="C16" s="64">
        <v>1133</v>
      </c>
      <c r="D16" s="64">
        <v>6357</v>
      </c>
      <c r="E16" s="64">
        <f>7302-430</f>
        <v>6872</v>
      </c>
      <c r="F16" s="64">
        <v>1550</v>
      </c>
      <c r="G16" s="64">
        <v>600</v>
      </c>
      <c r="H16" s="64">
        <v>106.7</v>
      </c>
      <c r="I16" s="53">
        <f t="shared" si="9"/>
        <v>5.6107678729037955</v>
      </c>
      <c r="J16" s="53">
        <f t="shared" si="10"/>
        <v>6.0653133274492497</v>
      </c>
      <c r="K16" s="53">
        <f t="shared" si="11"/>
        <v>1.3680494263018534</v>
      </c>
      <c r="L16" s="53">
        <f t="shared" si="12"/>
        <v>0.52956751985878203</v>
      </c>
      <c r="M16" s="53">
        <f t="shared" si="2"/>
        <v>9.4174757281553403E-2</v>
      </c>
      <c r="N16" s="53">
        <f t="shared" si="3"/>
        <v>0.31051961008526124</v>
      </c>
      <c r="O16" s="53">
        <f t="shared" si="4"/>
        <v>0.2726653374990276</v>
      </c>
      <c r="P16" s="53">
        <f t="shared" si="5"/>
        <v>9.1841617375276116E-2</v>
      </c>
      <c r="Q16" s="53">
        <f t="shared" si="6"/>
        <v>2.1080410647094348E-2</v>
      </c>
      <c r="R16" s="53">
        <f t="shared" si="7"/>
        <v>1.6421984897518748E-3</v>
      </c>
      <c r="S16" s="54">
        <f t="shared" si="8"/>
        <v>0.69774917409641113</v>
      </c>
    </row>
    <row r="17" spans="1:19" x14ac:dyDescent="0.2">
      <c r="A17" s="49">
        <v>8</v>
      </c>
      <c r="B17" s="63" t="s">
        <v>145</v>
      </c>
      <c r="C17" s="64">
        <v>6801</v>
      </c>
      <c r="D17" s="64">
        <v>17790</v>
      </c>
      <c r="E17" s="64">
        <v>8299</v>
      </c>
      <c r="F17" s="64">
        <v>13575</v>
      </c>
      <c r="G17" s="64">
        <v>3323</v>
      </c>
      <c r="H17" s="64">
        <v>374.2</v>
      </c>
      <c r="I17" s="53">
        <f t="shared" si="9"/>
        <v>2.6157917953242169</v>
      </c>
      <c r="J17" s="53">
        <f t="shared" si="10"/>
        <v>1.2202617262167328</v>
      </c>
      <c r="K17" s="53">
        <f t="shared" si="11"/>
        <v>1.9960299955888841</v>
      </c>
      <c r="L17" s="53">
        <f t="shared" si="12"/>
        <v>0.48860461696809293</v>
      </c>
      <c r="M17" s="53">
        <f t="shared" si="2"/>
        <v>5.5021320394059693E-2</v>
      </c>
      <c r="N17" s="53">
        <f t="shared" si="3"/>
        <v>0.14476710973393511</v>
      </c>
      <c r="O17" s="53">
        <f t="shared" si="4"/>
        <v>5.4856700297782834E-2</v>
      </c>
      <c r="P17" s="53">
        <f t="shared" si="5"/>
        <v>0.13400000000000001</v>
      </c>
      <c r="Q17" s="53">
        <f t="shared" si="6"/>
        <v>1.944980683955146E-2</v>
      </c>
      <c r="R17" s="53">
        <f t="shared" si="7"/>
        <v>9.5944955807151751E-4</v>
      </c>
      <c r="S17" s="54">
        <f t="shared" si="8"/>
        <v>0.3540330664293409</v>
      </c>
    </row>
    <row r="18" spans="1:19" x14ac:dyDescent="0.2">
      <c r="A18" s="49">
        <v>9</v>
      </c>
      <c r="B18" s="63" t="s">
        <v>146</v>
      </c>
      <c r="C18" s="64">
        <v>1683</v>
      </c>
      <c r="D18" s="64">
        <v>8175</v>
      </c>
      <c r="E18" s="64">
        <v>6354</v>
      </c>
      <c r="F18" s="64">
        <f>3153-500</f>
        <v>2653</v>
      </c>
      <c r="G18" s="64">
        <v>1463</v>
      </c>
      <c r="H18" s="64">
        <v>0</v>
      </c>
      <c r="I18" s="53">
        <f t="shared" si="9"/>
        <v>4.857397504456328</v>
      </c>
      <c r="J18" s="53">
        <f t="shared" si="10"/>
        <v>3.7754010695187166</v>
      </c>
      <c r="K18" s="53">
        <f t="shared" si="11"/>
        <v>1.576351752822341</v>
      </c>
      <c r="L18" s="53">
        <f t="shared" si="12"/>
        <v>0.86928104575163401</v>
      </c>
      <c r="M18" s="53">
        <f t="shared" si="2"/>
        <v>0</v>
      </c>
      <c r="N18" s="53">
        <f t="shared" si="3"/>
        <v>0.26882544658406732</v>
      </c>
      <c r="O18" s="53">
        <f t="shared" si="4"/>
        <v>0.16972264271257867</v>
      </c>
      <c r="P18" s="53">
        <f t="shared" si="5"/>
        <v>0.10582563155113041</v>
      </c>
      <c r="Q18" s="53">
        <f t="shared" si="6"/>
        <v>3.4603333333333333E-2</v>
      </c>
      <c r="R18" s="53">
        <f t="shared" si="7"/>
        <v>0</v>
      </c>
      <c r="S18" s="54">
        <f t="shared" si="8"/>
        <v>0.57897705418110978</v>
      </c>
    </row>
    <row r="19" spans="1:19" x14ac:dyDescent="0.2">
      <c r="A19" s="49">
        <v>10</v>
      </c>
      <c r="B19" s="63" t="s">
        <v>147</v>
      </c>
      <c r="C19" s="64">
        <v>1366</v>
      </c>
      <c r="D19" s="64">
        <v>6648</v>
      </c>
      <c r="E19" s="64">
        <f>8850-1540</f>
        <v>7310</v>
      </c>
      <c r="F19" s="64">
        <v>968</v>
      </c>
      <c r="G19" s="64">
        <v>750</v>
      </c>
      <c r="H19" s="64">
        <v>0</v>
      </c>
      <c r="I19" s="53">
        <f t="shared" si="9"/>
        <v>4.8667642752562221</v>
      </c>
      <c r="J19" s="53">
        <f t="shared" si="10"/>
        <v>5.3513909224011709</v>
      </c>
      <c r="K19" s="53">
        <f t="shared" si="11"/>
        <v>0.70863836017569548</v>
      </c>
      <c r="L19" s="53">
        <f t="shared" si="12"/>
        <v>0.54904831625183015</v>
      </c>
      <c r="M19" s="53">
        <f t="shared" si="2"/>
        <v>0</v>
      </c>
      <c r="N19" s="53">
        <f t="shared" si="3"/>
        <v>0.26934383659456612</v>
      </c>
      <c r="O19" s="53">
        <f t="shared" si="4"/>
        <v>0.24057105266800533</v>
      </c>
      <c r="P19" s="53">
        <f t="shared" si="5"/>
        <v>4.7573203044740865E-2</v>
      </c>
      <c r="Q19" s="53">
        <f t="shared" si="6"/>
        <v>2.1855879633197194E-2</v>
      </c>
      <c r="R19" s="53">
        <f t="shared" si="7"/>
        <v>0</v>
      </c>
      <c r="S19" s="54">
        <f t="shared" si="8"/>
        <v>0.57934397194050957</v>
      </c>
    </row>
    <row r="20" spans="1:19" x14ac:dyDescent="0.2">
      <c r="A20" s="49">
        <v>11</v>
      </c>
      <c r="B20" s="63" t="s">
        <v>148</v>
      </c>
      <c r="C20" s="64">
        <v>1378</v>
      </c>
      <c r="D20" s="64">
        <v>6460</v>
      </c>
      <c r="E20" s="64">
        <f>8711-3680</f>
        <v>5031</v>
      </c>
      <c r="F20" s="64">
        <v>1231</v>
      </c>
      <c r="G20" s="64">
        <v>562.6</v>
      </c>
      <c r="H20" s="64">
        <v>5</v>
      </c>
      <c r="I20" s="53">
        <f t="shared" si="9"/>
        <v>4.6879535558780843</v>
      </c>
      <c r="J20" s="53">
        <f t="shared" si="10"/>
        <v>3.6509433962264151</v>
      </c>
      <c r="K20" s="53">
        <f t="shared" si="11"/>
        <v>0.89332365747460085</v>
      </c>
      <c r="L20" s="53">
        <f t="shared" si="12"/>
        <v>0.40827285921625545</v>
      </c>
      <c r="M20" s="53">
        <f>IF($C20=0, ,H20/$C20)</f>
        <v>3.6284470246734399E-3</v>
      </c>
      <c r="N20" s="53">
        <f t="shared" si="3"/>
        <v>0.25944782305094599</v>
      </c>
      <c r="O20" s="53">
        <f t="shared" si="4"/>
        <v>0.16412766490013636</v>
      </c>
      <c r="P20" s="53">
        <f t="shared" si="5"/>
        <v>5.9971729065263935E-2</v>
      </c>
      <c r="Q20" s="53">
        <f t="shared" si="6"/>
        <v>1.6252053242685815E-2</v>
      </c>
      <c r="R20" s="53">
        <f>M20/M$9*H$6</f>
        <v>6.3272052894693888E-5</v>
      </c>
      <c r="S20" s="54">
        <f t="shared" si="8"/>
        <v>0.49986254231192678</v>
      </c>
    </row>
    <row r="21" spans="1:19" x14ac:dyDescent="0.2">
      <c r="A21" s="49">
        <v>12</v>
      </c>
      <c r="B21" s="63" t="s">
        <v>149</v>
      </c>
      <c r="C21" s="64">
        <v>1121</v>
      </c>
      <c r="D21" s="64">
        <v>6918</v>
      </c>
      <c r="E21" s="64">
        <f>5595-1200</f>
        <v>4395</v>
      </c>
      <c r="F21" s="64">
        <v>610</v>
      </c>
      <c r="G21" s="64">
        <f>846-700</f>
        <v>146</v>
      </c>
      <c r="H21" s="64">
        <v>450</v>
      </c>
      <c r="I21" s="53">
        <f t="shared" si="9"/>
        <v>6.1712756467439789</v>
      </c>
      <c r="J21" s="53">
        <f t="shared" si="10"/>
        <v>3.9206066012488847</v>
      </c>
      <c r="K21" s="53">
        <f t="shared" si="11"/>
        <v>0.54415700267618194</v>
      </c>
      <c r="L21" s="53">
        <f t="shared" si="12"/>
        <v>0.13024085637823371</v>
      </c>
      <c r="M21" s="53">
        <f t="shared" si="2"/>
        <v>0.40142729705619984</v>
      </c>
      <c r="N21" s="53">
        <f t="shared" si="3"/>
        <v>0.34154007988996454</v>
      </c>
      <c r="O21" s="53">
        <f t="shared" si="4"/>
        <v>0.17625033768535966</v>
      </c>
      <c r="P21" s="53">
        <f t="shared" si="5"/>
        <v>3.6531033361097281E-2</v>
      </c>
      <c r="Q21" s="53">
        <f t="shared" si="6"/>
        <v>5.1844772055026052E-3</v>
      </c>
      <c r="R21" s="53">
        <f t="shared" si="7"/>
        <v>6.9999999999999438E-3</v>
      </c>
      <c r="S21" s="54">
        <f>IF(C21=0,0,N21+O21+P21+Q21+R21)</f>
        <v>0.56650592814192402</v>
      </c>
    </row>
    <row r="23" spans="1:19" x14ac:dyDescent="0.2">
      <c r="C23" s="124">
        <f>D9+E9+F9+G9+H9</f>
        <v>223125.75</v>
      </c>
      <c r="D23">
        <f>D9/C23</f>
        <v>0.43126801814671772</v>
      </c>
      <c r="E23">
        <f>E9/C23</f>
        <v>0.37744679849815632</v>
      </c>
      <c r="F23">
        <f>F9/C23</f>
        <v>0.13386173491853809</v>
      </c>
      <c r="G23">
        <f>G9/C23</f>
        <v>5.0843974754146488E-2</v>
      </c>
    </row>
  </sheetData>
  <mergeCells count="15">
    <mergeCell ref="A1:S1"/>
    <mergeCell ref="A2:S2"/>
    <mergeCell ref="A3:S3"/>
    <mergeCell ref="S7:S8"/>
    <mergeCell ref="G7:G8"/>
    <mergeCell ref="H7:H8"/>
    <mergeCell ref="I7:M7"/>
    <mergeCell ref="N7:R7"/>
    <mergeCell ref="A4:S4"/>
    <mergeCell ref="A7:A8"/>
    <mergeCell ref="F7:F8"/>
    <mergeCell ref="B7:B8"/>
    <mergeCell ref="C7:C8"/>
    <mergeCell ref="D7:D8"/>
    <mergeCell ref="E7:E8"/>
  </mergeCells>
  <phoneticPr fontId="83" type="noConversion"/>
  <conditionalFormatting sqref="I10:R21">
    <cfRule type="cellIs" dxfId="6" priority="5" operator="equal">
      <formula>I$9</formula>
    </cfRule>
  </conditionalFormatting>
  <pageMargins left="0.51181102362204722" right="0.11811023622047245" top="0.74803149606299213" bottom="0.74803149606299213" header="0.31496062992125984" footer="0.31496062992125984"/>
  <pageSetup paperSize="9" scale="55" orientation="landscape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1" sqref="A11"/>
    </sheetView>
  </sheetViews>
  <sheetFormatPr defaultRowHeight="12.75" x14ac:dyDescent="0.2"/>
  <cols>
    <col min="1" max="1" width="9.140625" style="119"/>
    <col min="2" max="2" width="21.7109375" style="119" customWidth="1"/>
    <col min="3" max="3" width="11.28515625" style="119" customWidth="1"/>
    <col min="4" max="4" width="12.140625" style="119" customWidth="1"/>
    <col min="5" max="5" width="12.5703125" style="119" customWidth="1"/>
    <col min="6" max="6" width="13.28515625" style="119" customWidth="1"/>
    <col min="7" max="7" width="13.85546875" style="119" customWidth="1"/>
    <col min="8" max="8" width="16.7109375" style="119" customWidth="1"/>
    <col min="9" max="9" width="15.28515625" style="119" customWidth="1"/>
    <col min="10" max="10" width="0.28515625" style="119" hidden="1" customWidth="1"/>
    <col min="11" max="11" width="12.140625" style="119" hidden="1" customWidth="1"/>
    <col min="12" max="12" width="13.140625" style="119" customWidth="1"/>
    <col min="13" max="13" width="0.140625" style="119" hidden="1" customWidth="1"/>
    <col min="14" max="14" width="10.28515625" style="119" hidden="1" customWidth="1"/>
    <col min="15" max="15" width="11.42578125" style="119" hidden="1" customWidth="1"/>
    <col min="16" max="16" width="11.140625" style="119" hidden="1" customWidth="1"/>
    <col min="17" max="16384" width="9.140625" style="119"/>
  </cols>
  <sheetData>
    <row r="1" spans="1:17" ht="25.5" x14ac:dyDescent="0.35">
      <c r="A1" s="68" t="s">
        <v>101</v>
      </c>
      <c r="B1" s="68"/>
      <c r="C1" s="68"/>
      <c r="D1" s="68"/>
      <c r="E1" s="68"/>
      <c r="L1" s="126"/>
      <c r="M1" s="126"/>
    </row>
    <row r="2" spans="1:17" ht="20.25" x14ac:dyDescent="0.3">
      <c r="A2" s="199" t="s">
        <v>4</v>
      </c>
      <c r="B2" s="199"/>
      <c r="C2" s="199"/>
      <c r="D2" s="199"/>
      <c r="E2" s="199"/>
      <c r="F2" s="199"/>
      <c r="G2" s="199"/>
      <c r="H2" s="199"/>
      <c r="I2" s="199"/>
      <c r="J2" s="157"/>
      <c r="K2" s="157"/>
      <c r="L2" s="126"/>
      <c r="M2" s="126"/>
    </row>
    <row r="3" spans="1:17" ht="18.75" x14ac:dyDescent="0.3">
      <c r="A3" s="197"/>
      <c r="B3" s="197"/>
      <c r="C3" s="197"/>
      <c r="D3" s="197"/>
      <c r="E3" s="197"/>
      <c r="H3" s="117" t="s">
        <v>134</v>
      </c>
      <c r="I3" s="120">
        <v>9.5871152376495861</v>
      </c>
      <c r="J3" s="159"/>
      <c r="K3" s="159"/>
      <c r="L3" s="133"/>
      <c r="M3" s="126"/>
    </row>
    <row r="4" spans="1:17" ht="34.5" customHeight="1" x14ac:dyDescent="0.2">
      <c r="A4" s="189" t="s">
        <v>0</v>
      </c>
      <c r="B4" s="189" t="s">
        <v>5</v>
      </c>
      <c r="C4" s="189" t="s">
        <v>133</v>
      </c>
      <c r="D4" s="189" t="s">
        <v>104</v>
      </c>
      <c r="E4" s="189" t="s">
        <v>105</v>
      </c>
      <c r="F4" s="205" t="s">
        <v>103</v>
      </c>
      <c r="G4" s="189" t="s">
        <v>107</v>
      </c>
      <c r="H4" s="203" t="s">
        <v>106</v>
      </c>
      <c r="I4" s="203" t="s">
        <v>135</v>
      </c>
      <c r="J4" s="201"/>
      <c r="K4" s="160"/>
      <c r="L4" s="126"/>
      <c r="M4" s="126"/>
    </row>
    <row r="5" spans="1:17" ht="113.25" customHeight="1" x14ac:dyDescent="0.2">
      <c r="A5" s="190"/>
      <c r="B5" s="190"/>
      <c r="C5" s="190"/>
      <c r="D5" s="190"/>
      <c r="E5" s="190"/>
      <c r="F5" s="206"/>
      <c r="G5" s="190"/>
      <c r="H5" s="204"/>
      <c r="I5" s="204"/>
      <c r="J5" s="202"/>
      <c r="K5" s="158"/>
      <c r="L5" s="127">
        <v>105912.3</v>
      </c>
      <c r="M5" s="127" t="s">
        <v>150</v>
      </c>
      <c r="N5" s="132" t="s">
        <v>153</v>
      </c>
      <c r="O5" s="137" t="s">
        <v>151</v>
      </c>
      <c r="P5" s="134" t="s">
        <v>152</v>
      </c>
    </row>
    <row r="6" spans="1:17" ht="59.25" customHeight="1" x14ac:dyDescent="0.2">
      <c r="A6" s="42">
        <f>COUNT(C7:C18)</f>
        <v>12</v>
      </c>
      <c r="B6" s="135" t="s">
        <v>1</v>
      </c>
      <c r="C6" s="44">
        <f>SUM(C7:C18)</f>
        <v>21436</v>
      </c>
      <c r="D6" s="44"/>
      <c r="E6" s="44"/>
      <c r="F6" s="44"/>
      <c r="G6" s="118">
        <f>SUM(G7:G18)</f>
        <v>3309.2</v>
      </c>
      <c r="H6" s="44"/>
      <c r="I6" s="123">
        <f>SUM(I7:I18)</f>
        <v>123836.80000000002</v>
      </c>
      <c r="J6" s="123"/>
      <c r="K6" s="123"/>
      <c r="L6" s="129" t="s">
        <v>164</v>
      </c>
      <c r="M6" s="130">
        <v>10793.9</v>
      </c>
      <c r="N6" s="130">
        <v>121529.5</v>
      </c>
      <c r="O6" s="138">
        <v>124294.9</v>
      </c>
      <c r="P6" s="128">
        <v>-2765.4</v>
      </c>
    </row>
    <row r="7" spans="1:17" x14ac:dyDescent="0.2">
      <c r="A7" s="49">
        <v>1</v>
      </c>
      <c r="B7" s="63" t="s">
        <v>138</v>
      </c>
      <c r="C7" s="115">
        <f>ИБР!C10</f>
        <v>1868</v>
      </c>
      <c r="D7" s="121">
        <f>ИНП!AG15</f>
        <v>1.9331155717266954E-4</v>
      </c>
      <c r="E7" s="121">
        <f>ИБР!S10</f>
        <v>0.66861450901243602</v>
      </c>
      <c r="F7" s="121">
        <f>D7/E7</f>
        <v>2.8912258792917399E-4</v>
      </c>
      <c r="G7" s="64"/>
      <c r="H7" s="122">
        <f>F7+G7/(ИНП!$D$3/$C$6*'Дотация 2020'!E7*'Дотация 2020'!C7)</f>
        <v>2.8912258792917399E-4</v>
      </c>
      <c r="I7" s="162">
        <f>ИНП!$D$3/$C$6*('Дотация 2020'!$I$3-'Дотация 2020'!$H7)*'Дотация 2020'!$E7*'Дотация 2020'!$C7</f>
        <v>14228.432117449443</v>
      </c>
      <c r="J7" s="161"/>
      <c r="K7" s="161"/>
      <c r="L7" s="136">
        <f>ROUND(I7,1)</f>
        <v>14228.4</v>
      </c>
      <c r="M7" s="128"/>
      <c r="N7" s="131">
        <v>12810.8</v>
      </c>
      <c r="O7" s="139">
        <v>13149.9</v>
      </c>
      <c r="P7" s="143">
        <v>-339.1</v>
      </c>
      <c r="Q7" s="141"/>
    </row>
    <row r="8" spans="1:17" x14ac:dyDescent="0.2">
      <c r="A8" s="49">
        <v>2</v>
      </c>
      <c r="B8" s="63" t="s">
        <v>139</v>
      </c>
      <c r="C8" s="115">
        <f>ИБР!C11</f>
        <v>1483</v>
      </c>
      <c r="D8" s="121">
        <f>ИНП!AG16</f>
        <v>2.4041767471431877E-4</v>
      </c>
      <c r="E8" s="121">
        <f>ИБР!S11</f>
        <v>0.59658175727438323</v>
      </c>
      <c r="F8" s="121">
        <f t="shared" ref="F8:F18" si="0">D8/E8</f>
        <v>4.0299199863690186E-4</v>
      </c>
      <c r="G8" s="64">
        <v>256.2</v>
      </c>
      <c r="H8" s="122">
        <f>F8+G8/(ИНП!$D$3/$C$6*'Дотация 2020'!E8*'Дотация 2020'!C8)</f>
        <v>0.24409342399645326</v>
      </c>
      <c r="I8" s="156">
        <f>ИНП!$D$3/$C$6*('Дотация 2020'!$I$3-'Дотация 2020'!$H8)*'Дотация 2020'!$E8*'Дотация 2020'!$C8</f>
        <v>9822.6350908983659</v>
      </c>
      <c r="J8" s="161"/>
      <c r="K8" s="161"/>
      <c r="L8" s="136">
        <f t="shared" ref="L8:L18" si="1">ROUND(I8,1)</f>
        <v>9822.6</v>
      </c>
      <c r="M8" s="128"/>
      <c r="N8" s="131">
        <v>8825.2999999999993</v>
      </c>
      <c r="O8" s="139">
        <v>10353.5</v>
      </c>
      <c r="P8" s="143">
        <v>-1528.2</v>
      </c>
      <c r="Q8" s="141"/>
    </row>
    <row r="9" spans="1:17" x14ac:dyDescent="0.2">
      <c r="A9" s="49">
        <v>3</v>
      </c>
      <c r="B9" s="63" t="s">
        <v>140</v>
      </c>
      <c r="C9" s="115">
        <f>ИБР!C12</f>
        <v>782</v>
      </c>
      <c r="D9" s="121">
        <f>ИНП!AG17</f>
        <v>4.4249437021252434E-5</v>
      </c>
      <c r="E9" s="121">
        <f>ИБР!S12</f>
        <v>0.88651543108523734</v>
      </c>
      <c r="F9" s="121">
        <f t="shared" si="0"/>
        <v>4.991389373457833E-5</v>
      </c>
      <c r="G9" s="64">
        <v>531.70000000000005</v>
      </c>
      <c r="H9" s="122">
        <f>F9+G9/(ИНП!$D$3/$C$6*'Дотация 2020'!E9*'Дотация 2020'!C9)</f>
        <v>0.64547238270395613</v>
      </c>
      <c r="I9" s="156">
        <f>ИНП!$D$3/$C$6*('Дотация 2020'!$I$3-'Дотация 2020'!$H9)*'Дотация 2020'!$E9*'Дотация 2020'!$C9</f>
        <v>7366.1388249136498</v>
      </c>
      <c r="J9" s="161"/>
      <c r="K9" s="161"/>
      <c r="L9" s="163">
        <v>7366.2</v>
      </c>
      <c r="M9" s="128">
        <v>250</v>
      </c>
      <c r="N9" s="131">
        <v>6833.9</v>
      </c>
      <c r="O9" s="139">
        <v>6512.7</v>
      </c>
      <c r="P9" s="143">
        <v>321.2</v>
      </c>
      <c r="Q9" s="141"/>
    </row>
    <row r="10" spans="1:17" x14ac:dyDescent="0.2">
      <c r="A10" s="49">
        <v>4</v>
      </c>
      <c r="B10" s="63" t="s">
        <v>141</v>
      </c>
      <c r="C10" s="115">
        <f>ИБР!C13</f>
        <v>1353</v>
      </c>
      <c r="D10" s="121">
        <f>ИНП!AG18</f>
        <v>1.9465574599275456E-4</v>
      </c>
      <c r="E10" s="121">
        <f>ИБР!S13</f>
        <v>0.6097228116561233</v>
      </c>
      <c r="F10" s="121">
        <f t="shared" si="0"/>
        <v>3.1925285108495854E-4</v>
      </c>
      <c r="G10" s="64">
        <v>351.9</v>
      </c>
      <c r="H10" s="122">
        <f>F10+G10/(ИНП!$D$3/$C$6*'Дотация 2020'!E10*'Дотация 2020'!C10)</f>
        <v>0.35929036378733387</v>
      </c>
      <c r="I10" s="162">
        <f>ИНП!$D$3/$C$6*('Дотация 2020'!$I$3-'Дотация 2020'!$H10)*'Дотация 2020'!$E10*'Дотация 2020'!$C10</f>
        <v>9046.0526604571878</v>
      </c>
      <c r="J10" s="161"/>
      <c r="K10" s="161"/>
      <c r="L10" s="136">
        <f t="shared" si="1"/>
        <v>9046.1</v>
      </c>
      <c r="M10" s="128"/>
      <c r="N10" s="131">
        <v>8116.4</v>
      </c>
      <c r="O10" s="139">
        <v>10569.4</v>
      </c>
      <c r="P10" s="143">
        <v>-2453</v>
      </c>
      <c r="Q10" s="141"/>
    </row>
    <row r="11" spans="1:17" x14ac:dyDescent="0.2">
      <c r="A11" s="49">
        <v>5</v>
      </c>
      <c r="B11" s="63" t="s">
        <v>142</v>
      </c>
      <c r="C11" s="115">
        <f>ИБР!C14</f>
        <v>1262</v>
      </c>
      <c r="D11" s="121">
        <f>ИНП!AG19</f>
        <v>1.8853340480882227E-4</v>
      </c>
      <c r="E11" s="121">
        <f>ИБР!S14</f>
        <v>0.69721057665632313</v>
      </c>
      <c r="F11" s="121">
        <f t="shared" si="0"/>
        <v>2.7041099363837715E-4</v>
      </c>
      <c r="G11" s="64">
        <v>37.5</v>
      </c>
      <c r="H11" s="122">
        <f>F11+G11/(ИНП!$D$3/$C$6*'Дотация 2020'!E11*'Дотация 2020'!C11)</f>
        <v>3.6136037256239782E-2</v>
      </c>
      <c r="I11" s="162">
        <f>ИНП!$D$3/$C$6*('Дотация 2020'!$I$3-'Дотация 2020'!$H11)*'Дотация 2020'!$E11*'Дотация 2020'!$C11</f>
        <v>9986.2112372542251</v>
      </c>
      <c r="J11" s="161"/>
      <c r="K11" s="161"/>
      <c r="L11" s="136">
        <f t="shared" si="1"/>
        <v>9986.2000000000007</v>
      </c>
      <c r="M11" s="128">
        <v>1150</v>
      </c>
      <c r="N11" s="131">
        <v>10144</v>
      </c>
      <c r="O11" s="139">
        <v>11211.3</v>
      </c>
      <c r="P11" s="143">
        <v>-1067.3</v>
      </c>
      <c r="Q11" s="141"/>
    </row>
    <row r="12" spans="1:17" x14ac:dyDescent="0.2">
      <c r="A12" s="49">
        <v>6</v>
      </c>
      <c r="B12" s="63" t="s">
        <v>143</v>
      </c>
      <c r="C12" s="115">
        <f>ИБР!C15</f>
        <v>1206</v>
      </c>
      <c r="D12" s="121">
        <f>ИНП!AG20</f>
        <v>6.5827173082770398E-5</v>
      </c>
      <c r="E12" s="121">
        <f>ИБР!S15</f>
        <v>0.64186973508004197</v>
      </c>
      <c r="F12" s="121">
        <f t="shared" si="0"/>
        <v>1.0255534649029942E-4</v>
      </c>
      <c r="G12" s="64">
        <v>428.7</v>
      </c>
      <c r="H12" s="122">
        <f>F12+G12/(ИНП!$D$3/$C$6*'Дотация 2020'!E12*'Дотация 2020'!C12)</f>
        <v>0.46614959058040295</v>
      </c>
      <c r="I12" s="162">
        <f>ИНП!$D$3/$C$6*('Дотация 2020'!$I$3-'Дотация 2020'!$H12)*'Дотация 2020'!$E12*'Дотация 2020'!$C12</f>
        <v>8390.0500964157418</v>
      </c>
      <c r="J12" s="161"/>
      <c r="K12" s="161"/>
      <c r="L12" s="136">
        <f t="shared" si="1"/>
        <v>8390.1</v>
      </c>
      <c r="M12" s="128">
        <v>1343.9</v>
      </c>
      <c r="N12" s="131">
        <v>8861.7000000000007</v>
      </c>
      <c r="O12" s="139">
        <v>9410.6</v>
      </c>
      <c r="P12" s="143">
        <v>-548.9</v>
      </c>
      <c r="Q12" s="141"/>
    </row>
    <row r="13" spans="1:17" x14ac:dyDescent="0.2">
      <c r="A13" s="49">
        <v>7</v>
      </c>
      <c r="B13" s="63" t="s">
        <v>144</v>
      </c>
      <c r="C13" s="115">
        <f>ИБР!C16</f>
        <v>1133</v>
      </c>
      <c r="D13" s="121">
        <f>ИНП!AG21</f>
        <v>2.1402032571682592E-3</v>
      </c>
      <c r="E13" s="121">
        <f>ИБР!S16</f>
        <v>0.69774917409641113</v>
      </c>
      <c r="F13" s="121">
        <f t="shared" si="0"/>
        <v>3.0672960092569565E-3</v>
      </c>
      <c r="G13" s="64">
        <v>425.4</v>
      </c>
      <c r="H13" s="122">
        <f>F13+G13/(ИНП!$D$3/$C$6*'Дотация 2020'!E13*'Дотация 2020'!C13)</f>
        <v>0.45590097246674754</v>
      </c>
      <c r="I13" s="162">
        <f>ИНП!$D$3/$C$6*('Дотация 2020'!$I$3-'Дотация 2020'!$H13)*'Дотация 2020'!$E13*'Дотация 2020'!$C13</f>
        <v>8578.0248916037199</v>
      </c>
      <c r="J13" s="161"/>
      <c r="K13" s="161"/>
      <c r="L13" s="136">
        <f t="shared" si="1"/>
        <v>8578</v>
      </c>
      <c r="M13" s="128">
        <v>430</v>
      </c>
      <c r="N13" s="131">
        <v>8116.5</v>
      </c>
      <c r="O13" s="139">
        <v>8768.4</v>
      </c>
      <c r="P13" s="143">
        <v>-651.9</v>
      </c>
      <c r="Q13" s="141"/>
    </row>
    <row r="14" spans="1:17" x14ac:dyDescent="0.2">
      <c r="A14" s="49">
        <v>8</v>
      </c>
      <c r="B14" s="63" t="s">
        <v>145</v>
      </c>
      <c r="C14" s="115">
        <f>ИБР!C17</f>
        <v>6801</v>
      </c>
      <c r="D14" s="121">
        <f>ИНП!AG22</f>
        <v>0.60994908212313037</v>
      </c>
      <c r="E14" s="121">
        <f>ИБР!S17</f>
        <v>0.3540330664293409</v>
      </c>
      <c r="F14" s="121">
        <f t="shared" si="0"/>
        <v>1.7228590771898027</v>
      </c>
      <c r="G14" s="64"/>
      <c r="H14" s="122">
        <f>F14+G14/(ИНП!$D$3/$C$6*'Дотация 2020'!E14*'Дотация 2020'!C14)</f>
        <v>1.7228590771898027</v>
      </c>
      <c r="I14" s="162">
        <f>ИНП!$D$3/$C$6*('Дотация 2020'!$I$3-'Дотация 2020'!$H14)*'Дотация 2020'!$E14*'Дотация 2020'!$C14</f>
        <v>22501.10158016441</v>
      </c>
      <c r="J14" s="161"/>
      <c r="K14" s="161"/>
      <c r="L14" s="136">
        <f t="shared" si="1"/>
        <v>22501.1</v>
      </c>
      <c r="M14" s="128"/>
      <c r="N14" s="131">
        <v>19768.2</v>
      </c>
      <c r="O14" s="139">
        <v>17614.7</v>
      </c>
      <c r="P14" s="143">
        <v>2153.5</v>
      </c>
      <c r="Q14" s="141"/>
    </row>
    <row r="15" spans="1:17" x14ac:dyDescent="0.2">
      <c r="A15" s="49">
        <v>9</v>
      </c>
      <c r="B15" s="63" t="s">
        <v>146</v>
      </c>
      <c r="C15" s="115">
        <f>ИБР!C18</f>
        <v>1683</v>
      </c>
      <c r="D15" s="121">
        <f>ИНП!AG23</f>
        <v>5.1553977226320615E-4</v>
      </c>
      <c r="E15" s="121">
        <f>ИБР!S18</f>
        <v>0.57897705418110978</v>
      </c>
      <c r="F15" s="121">
        <f t="shared" si="0"/>
        <v>8.9043213118760345E-4</v>
      </c>
      <c r="G15" s="64">
        <v>346.2</v>
      </c>
      <c r="H15" s="122">
        <f>F15+G15/(ИНП!$D$3/$C$6*'Дотация 2020'!E15*'Дотация 2020'!C15)</f>
        <v>0.29987726846556145</v>
      </c>
      <c r="I15" s="162">
        <f>ИНП!$D$3/$C$6*('Дотация 2020'!$I$3-'Дотация 2020'!$H15)*'Дотация 2020'!$E15*'Дотация 2020'!$C15</f>
        <v>10753.790448940445</v>
      </c>
      <c r="J15" s="161"/>
      <c r="K15" s="161"/>
      <c r="L15" s="136">
        <f t="shared" si="1"/>
        <v>10753.8</v>
      </c>
      <c r="M15" s="128">
        <v>500</v>
      </c>
      <c r="N15" s="131">
        <v>10156.200000000001</v>
      </c>
      <c r="O15" s="139">
        <v>11048.4</v>
      </c>
      <c r="P15" s="143">
        <v>-892.19999999999891</v>
      </c>
      <c r="Q15" s="141"/>
    </row>
    <row r="16" spans="1:17" x14ac:dyDescent="0.2">
      <c r="A16" s="49">
        <v>10</v>
      </c>
      <c r="B16" s="63" t="s">
        <v>147</v>
      </c>
      <c r="C16" s="115">
        <f>ИБР!C19</f>
        <v>1366</v>
      </c>
      <c r="D16" s="121">
        <f>ИНП!AG24</f>
        <v>1.8647930587924666E-4</v>
      </c>
      <c r="E16" s="121">
        <f>ИБР!S19</f>
        <v>0.57934397194050957</v>
      </c>
      <c r="F16" s="121">
        <f t="shared" si="0"/>
        <v>3.2188011770388361E-4</v>
      </c>
      <c r="G16" s="64">
        <v>332.2</v>
      </c>
      <c r="H16" s="122">
        <f>F16+G16/(ИНП!$D$3/$C$6*'Дотация 2020'!E16*'Дотация 2020'!C16)</f>
        <v>0.35357248060699592</v>
      </c>
      <c r="I16" s="162">
        <f>ИНП!$D$3/$C$6*('Дотация 2020'!$I$3-'Дотация 2020'!$H16)*'Дотация 2020'!$E16*'Дотация 2020'!$C16</f>
        <v>8683.3055616632391</v>
      </c>
      <c r="J16" s="161"/>
      <c r="K16" s="161"/>
      <c r="L16" s="136">
        <f t="shared" si="1"/>
        <v>8683.2999999999993</v>
      </c>
      <c r="M16" s="128">
        <v>1540</v>
      </c>
      <c r="N16" s="131">
        <v>9331.2000000000007</v>
      </c>
      <c r="O16" s="139">
        <v>9750.1</v>
      </c>
      <c r="P16" s="143">
        <v>-418.9</v>
      </c>
      <c r="Q16" s="141"/>
    </row>
    <row r="17" spans="1:17" x14ac:dyDescent="0.2">
      <c r="A17" s="49">
        <v>11</v>
      </c>
      <c r="B17" s="63" t="s">
        <v>148</v>
      </c>
      <c r="C17" s="115">
        <f>ИБР!C20</f>
        <v>1378</v>
      </c>
      <c r="D17" s="121">
        <f>ИНП!AG25</f>
        <v>9.3015013045997716E-4</v>
      </c>
      <c r="E17" s="121">
        <f>ИБР!S20</f>
        <v>0.49986254231192678</v>
      </c>
      <c r="F17" s="121">
        <f t="shared" si="0"/>
        <v>1.8608118267032302E-3</v>
      </c>
      <c r="G17" s="64">
        <v>361</v>
      </c>
      <c r="H17" s="122">
        <f>F17+G17/(ИНП!$D$3/$C$6*'Дотация 2020'!E17*'Дотация 2020'!C17)</f>
        <v>0.44290069370028884</v>
      </c>
      <c r="I17" s="162">
        <f>ИНП!$D$3/$C$6*('Дотация 2020'!$I$3-'Дотация 2020'!$H17)*'Дотация 2020'!$E17*'Дотация 2020'!$C17</f>
        <v>7484.7232326075064</v>
      </c>
      <c r="J17" s="161"/>
      <c r="K17" s="161"/>
      <c r="L17" s="136">
        <f t="shared" si="1"/>
        <v>7484.7</v>
      </c>
      <c r="M17" s="128">
        <v>3680</v>
      </c>
      <c r="N17" s="131">
        <v>10389.700000000001</v>
      </c>
      <c r="O17" s="139">
        <v>7676.4</v>
      </c>
      <c r="P17" s="143">
        <v>2713.3</v>
      </c>
      <c r="Q17" s="141"/>
    </row>
    <row r="18" spans="1:17" x14ac:dyDescent="0.2">
      <c r="A18" s="49">
        <v>12</v>
      </c>
      <c r="B18" s="63" t="s">
        <v>149</v>
      </c>
      <c r="C18" s="115">
        <f>ИБР!C21</f>
        <v>1121</v>
      </c>
      <c r="D18" s="121">
        <f>ИНП!AG26</f>
        <v>6.2066807137000233E-5</v>
      </c>
      <c r="E18" s="121">
        <f>ИБР!S21</f>
        <v>0.56650592814192402</v>
      </c>
      <c r="F18" s="121">
        <f t="shared" si="0"/>
        <v>1.0956073723812989E-4</v>
      </c>
      <c r="G18" s="64">
        <v>238.4</v>
      </c>
      <c r="H18" s="122">
        <f>F18+G18/(ИНП!$D$3/$C$6*'Дотация 2020'!E18*'Дотация 2020'!C18)</f>
        <v>0.31602194562751024</v>
      </c>
      <c r="I18" s="162">
        <f>ИНП!$D$3/$C$6*('Дотация 2020'!$I$3-'Дотация 2020'!$H18)*'Дотация 2020'!$E18*'Дотация 2020'!$C18</f>
        <v>6996.334257632082</v>
      </c>
      <c r="J18" s="161"/>
      <c r="K18" s="161"/>
      <c r="L18" s="136">
        <f t="shared" si="1"/>
        <v>6996.3</v>
      </c>
      <c r="M18" s="128">
        <v>1900</v>
      </c>
      <c r="N18" s="131">
        <v>8175.6</v>
      </c>
      <c r="O18" s="139">
        <v>8229.5</v>
      </c>
      <c r="P18" s="131">
        <v>-53.899999999999636</v>
      </c>
      <c r="Q18" s="141"/>
    </row>
    <row r="19" spans="1:17" x14ac:dyDescent="0.2">
      <c r="I19" s="119">
        <v>123836.80000000002</v>
      </c>
      <c r="L19" s="136">
        <f>SUM(L7:L18)</f>
        <v>123836.80000000002</v>
      </c>
    </row>
    <row r="21" spans="1:17" x14ac:dyDescent="0.2">
      <c r="I21" s="119" t="s">
        <v>165</v>
      </c>
      <c r="L21" s="119">
        <v>119119</v>
      </c>
    </row>
    <row r="23" spans="1:17" x14ac:dyDescent="0.2">
      <c r="I23" s="119" t="s">
        <v>166</v>
      </c>
      <c r="L23" s="136">
        <f>L19-L21</f>
        <v>4717.8000000000175</v>
      </c>
    </row>
  </sheetData>
  <mergeCells count="12">
    <mergeCell ref="J4:J5"/>
    <mergeCell ref="C4:C5"/>
    <mergeCell ref="D4:D5"/>
    <mergeCell ref="E4:E5"/>
    <mergeCell ref="A2:I2"/>
    <mergeCell ref="I4:I5"/>
    <mergeCell ref="G4:G5"/>
    <mergeCell ref="H4:H5"/>
    <mergeCell ref="F4:F5"/>
    <mergeCell ref="A3:E3"/>
    <mergeCell ref="A4:A5"/>
    <mergeCell ref="B4:B5"/>
  </mergeCells>
  <phoneticPr fontId="83" type="noConversion"/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pane xSplit="2" ySplit="8" topLeftCell="F9" activePane="bottomRight" state="frozen"/>
      <selection pane="topRight" activeCell="C1" sqref="C1"/>
      <selection pane="bottomLeft" activeCell="A9" sqref="A9"/>
      <selection pane="bottomRight" activeCell="I6" sqref="I6"/>
    </sheetView>
  </sheetViews>
  <sheetFormatPr defaultRowHeight="12.75" x14ac:dyDescent="0.2"/>
  <cols>
    <col min="1" max="1" width="9.140625" style="119"/>
    <col min="2" max="2" width="29.85546875" style="119" customWidth="1"/>
    <col min="3" max="3" width="11.28515625" style="119" customWidth="1"/>
    <col min="4" max="4" width="12.140625" style="119" customWidth="1"/>
    <col min="5" max="5" width="12.5703125" style="119" customWidth="1"/>
    <col min="6" max="6" width="13.28515625" style="119" customWidth="1"/>
    <col min="7" max="7" width="13.85546875" style="119" customWidth="1"/>
    <col min="8" max="8" width="16.7109375" style="119" customWidth="1"/>
    <col min="9" max="9" width="15.28515625" style="119" customWidth="1"/>
    <col min="10" max="10" width="30.85546875" style="119" customWidth="1"/>
    <col min="11" max="11" width="12" style="119" customWidth="1"/>
    <col min="12" max="12" width="10.28515625" style="119" customWidth="1"/>
    <col min="13" max="13" width="11.42578125" style="119" customWidth="1"/>
    <col min="14" max="14" width="11.140625" style="119" customWidth="1"/>
    <col min="15" max="16384" width="9.140625" style="119"/>
  </cols>
  <sheetData>
    <row r="1" spans="1:15" ht="25.5" x14ac:dyDescent="0.35">
      <c r="A1" s="68" t="s">
        <v>101</v>
      </c>
      <c r="B1" s="68"/>
      <c r="C1" s="68"/>
      <c r="D1" s="68"/>
      <c r="E1" s="68"/>
      <c r="J1" s="126"/>
      <c r="K1" s="126"/>
    </row>
    <row r="2" spans="1:15" ht="20.25" x14ac:dyDescent="0.3">
      <c r="A2" s="199" t="s">
        <v>4</v>
      </c>
      <c r="B2" s="199"/>
      <c r="C2" s="199"/>
      <c r="D2" s="199"/>
      <c r="E2" s="199"/>
      <c r="F2" s="199"/>
      <c r="G2" s="199"/>
      <c r="H2" s="199"/>
      <c r="I2" s="199"/>
      <c r="J2" s="126">
        <v>60045.5</v>
      </c>
      <c r="K2" s="126"/>
    </row>
    <row r="3" spans="1:15" ht="19.5" thickBot="1" x14ac:dyDescent="0.35">
      <c r="A3" s="197"/>
      <c r="B3" s="197"/>
      <c r="C3" s="197"/>
      <c r="D3" s="197"/>
      <c r="E3" s="197"/>
      <c r="H3" s="117" t="s">
        <v>134</v>
      </c>
      <c r="I3" s="120">
        <v>8.3661394356098597</v>
      </c>
      <c r="J3" s="133">
        <v>139567.79999999999</v>
      </c>
      <c r="K3" s="133">
        <v>199613.3</v>
      </c>
      <c r="L3" s="141">
        <f>K3*7.5%</f>
        <v>14970.997499999998</v>
      </c>
    </row>
    <row r="4" spans="1:15" ht="34.5" customHeight="1" thickBot="1" x14ac:dyDescent="0.25">
      <c r="A4" s="189" t="s">
        <v>0</v>
      </c>
      <c r="B4" s="189" t="s">
        <v>5</v>
      </c>
      <c r="C4" s="189" t="s">
        <v>133</v>
      </c>
      <c r="D4" s="189" t="s">
        <v>104</v>
      </c>
      <c r="E4" s="189" t="s">
        <v>105</v>
      </c>
      <c r="F4" s="205" t="s">
        <v>103</v>
      </c>
      <c r="G4" s="189" t="s">
        <v>107</v>
      </c>
      <c r="H4" s="203" t="s">
        <v>106</v>
      </c>
      <c r="I4" s="203" t="s">
        <v>135</v>
      </c>
      <c r="J4" s="126">
        <v>14971</v>
      </c>
      <c r="K4" s="154">
        <v>108161.60000000001</v>
      </c>
    </row>
    <row r="5" spans="1:15" ht="113.25" customHeight="1" x14ac:dyDescent="0.2">
      <c r="A5" s="190"/>
      <c r="B5" s="190"/>
      <c r="C5" s="190"/>
      <c r="D5" s="190"/>
      <c r="E5" s="190"/>
      <c r="F5" s="206"/>
      <c r="G5" s="190"/>
      <c r="H5" s="204"/>
      <c r="I5" s="204"/>
      <c r="J5" s="144">
        <v>93190.6</v>
      </c>
      <c r="K5" s="146"/>
      <c r="L5" s="146"/>
      <c r="M5" s="147"/>
      <c r="N5" s="148"/>
      <c r="O5" s="149"/>
    </row>
    <row r="6" spans="1:15" ht="51" customHeight="1" x14ac:dyDescent="0.2">
      <c r="A6" s="42">
        <f>COUNT(C7:C18)</f>
        <v>12</v>
      </c>
      <c r="B6" s="135" t="s">
        <v>1</v>
      </c>
      <c r="C6" s="44">
        <f>SUM(C7:C18)</f>
        <v>21436</v>
      </c>
      <c r="D6" s="44"/>
      <c r="E6" s="44"/>
      <c r="F6" s="44"/>
      <c r="G6" s="118">
        <f>SUM(G7:G18)</f>
        <v>2218.1</v>
      </c>
      <c r="H6" s="44"/>
      <c r="I6" s="123">
        <f>SUM(I7:I18)</f>
        <v>108161.60000000001</v>
      </c>
      <c r="J6" s="145" t="s">
        <v>137</v>
      </c>
      <c r="K6" s="149"/>
      <c r="L6" s="149"/>
      <c r="M6" s="150"/>
      <c r="N6" s="149"/>
      <c r="O6" s="149"/>
    </row>
    <row r="7" spans="1:15" x14ac:dyDescent="0.2">
      <c r="A7" s="49">
        <v>1</v>
      </c>
      <c r="B7" s="63" t="s">
        <v>138</v>
      </c>
      <c r="C7" s="115">
        <f>ИБР!C10</f>
        <v>1868</v>
      </c>
      <c r="D7" s="121">
        <f>ИНП!AH15</f>
        <v>1.9824083893192732E-4</v>
      </c>
      <c r="E7" s="121">
        <f>ИБР!S10</f>
        <v>0.66861450901243602</v>
      </c>
      <c r="F7" s="121">
        <f t="shared" ref="F7:F18" si="0">D7/E7</f>
        <v>2.9649497021046563E-4</v>
      </c>
      <c r="G7" s="64"/>
      <c r="H7" s="122">
        <f>F7+G7/(ИНП!$D$3/$C$6*'2021'!E7*'2021'!C7)</f>
        <v>2.9649497021046563E-4</v>
      </c>
      <c r="I7" s="156">
        <f>ИНП!$D$3/$C$6*('2021'!$I$3-'2021'!$H7)*'2021'!$E7*'2021'!$C7</f>
        <v>12416.291581540732</v>
      </c>
      <c r="J7" s="136"/>
      <c r="K7" s="149">
        <v>12819.2</v>
      </c>
      <c r="L7" s="151"/>
      <c r="M7" s="150"/>
      <c r="N7" s="152"/>
      <c r="O7" s="153"/>
    </row>
    <row r="8" spans="1:15" x14ac:dyDescent="0.2">
      <c r="A8" s="49">
        <v>2</v>
      </c>
      <c r="B8" s="63" t="s">
        <v>139</v>
      </c>
      <c r="C8" s="115">
        <f>ИБР!C11</f>
        <v>1483</v>
      </c>
      <c r="D8" s="121">
        <f>ИНП!AH16</f>
        <v>2.534607862849884E-4</v>
      </c>
      <c r="E8" s="121">
        <f>ИБР!S11</f>
        <v>0.59658175727438323</v>
      </c>
      <c r="F8" s="121">
        <f t="shared" si="0"/>
        <v>4.2485507341521892E-4</v>
      </c>
      <c r="G8" s="64">
        <v>106.9</v>
      </c>
      <c r="H8" s="122">
        <f>F8+G8/(ИНП!$D$3/$C$6*'2021'!E8*'2021'!C8)</f>
        <v>0.1021052109694596</v>
      </c>
      <c r="I8" s="156">
        <f>ИНП!$D$3/$C$6*('2021'!$I$3-'2021'!$H8)*'2021'!$E8*'2021'!$C8</f>
        <v>8688.258915195498</v>
      </c>
      <c r="J8" s="136"/>
      <c r="K8" s="149">
        <v>8973.7000000000007</v>
      </c>
      <c r="L8" s="151"/>
      <c r="M8" s="150"/>
      <c r="N8" s="152"/>
      <c r="O8" s="153"/>
    </row>
    <row r="9" spans="1:15" x14ac:dyDescent="0.2">
      <c r="A9" s="49">
        <v>3</v>
      </c>
      <c r="B9" s="63" t="s">
        <v>140</v>
      </c>
      <c r="C9" s="115">
        <f>ИБР!C12</f>
        <v>782</v>
      </c>
      <c r="D9" s="121">
        <f>ИНП!AH17</f>
        <v>4.6699407850256722E-5</v>
      </c>
      <c r="E9" s="121">
        <f>ИБР!S12</f>
        <v>0.88651543108523734</v>
      </c>
      <c r="F9" s="121">
        <f t="shared" si="0"/>
        <v>5.2677490106505134E-5</v>
      </c>
      <c r="G9" s="64">
        <v>454.8</v>
      </c>
      <c r="H9" s="122">
        <f>F9+G9/(ИНП!$D$3/$C$6*'2021'!E9*'2021'!C9)</f>
        <v>0.55212741665672072</v>
      </c>
      <c r="I9" s="156">
        <f>ИНП!$D$3/$C$6*('2021'!$I$3-'2021'!$H9)*'2021'!$E9*'2021'!$C9</f>
        <v>6437.1948471769501</v>
      </c>
      <c r="J9" s="136"/>
      <c r="K9" s="149">
        <v>6660.8</v>
      </c>
      <c r="L9" s="151"/>
      <c r="M9" s="150"/>
      <c r="N9" s="152"/>
      <c r="O9" s="153"/>
    </row>
    <row r="10" spans="1:15" x14ac:dyDescent="0.2">
      <c r="A10" s="49">
        <v>4</v>
      </c>
      <c r="B10" s="63" t="s">
        <v>141</v>
      </c>
      <c r="C10" s="115">
        <f>ИБР!C13</f>
        <v>1353</v>
      </c>
      <c r="D10" s="121">
        <f>ИНП!AH18</f>
        <v>2.0028354969556326E-4</v>
      </c>
      <c r="E10" s="121">
        <f>ИБР!S13</f>
        <v>0.6097228116561233</v>
      </c>
      <c r="F10" s="121">
        <f t="shared" si="0"/>
        <v>3.2848295301852819E-4</v>
      </c>
      <c r="G10" s="64">
        <v>326.89999999999998</v>
      </c>
      <c r="H10" s="122">
        <f>F10+G10/(ИНП!$D$3/$C$6*'2021'!E10*'2021'!C10)</f>
        <v>0.33379724159200619</v>
      </c>
      <c r="I10" s="156">
        <f>ИНП!$D$3/$C$6*('2021'!$I$3-'2021'!$H10)*'2021'!$E10*'2021'!$C10</f>
        <v>7874.1189247868642</v>
      </c>
      <c r="J10" s="136"/>
      <c r="K10" s="149">
        <v>8140.3</v>
      </c>
      <c r="L10" s="151"/>
      <c r="M10" s="150"/>
      <c r="N10" s="152"/>
      <c r="O10" s="153"/>
    </row>
    <row r="11" spans="1:15" x14ac:dyDescent="0.2">
      <c r="A11" s="49">
        <v>5</v>
      </c>
      <c r="B11" s="63" t="s">
        <v>142</v>
      </c>
      <c r="C11" s="115">
        <f>ИБР!C14</f>
        <v>1262</v>
      </c>
      <c r="D11" s="121">
        <f>ИНП!AH19</f>
        <v>1.8467787155468024E-4</v>
      </c>
      <c r="E11" s="121">
        <f>ИБР!S14</f>
        <v>0.69721057665632313</v>
      </c>
      <c r="F11" s="121">
        <f t="shared" si="0"/>
        <v>2.6488105278086411E-4</v>
      </c>
      <c r="G11" s="64">
        <v>0</v>
      </c>
      <c r="H11" s="122">
        <f>F11+G11/(ИНП!$D$3/$C$6*'2021'!E11*'2021'!C11)</f>
        <v>2.6488105278086411E-4</v>
      </c>
      <c r="I11" s="156">
        <f>ИНП!$D$3/$C$6*('2021'!$I$3-'2021'!$H11)*'2021'!$E11*'2021'!$C11</f>
        <v>8747.1021277835534</v>
      </c>
      <c r="J11" s="136"/>
      <c r="K11" s="149">
        <v>9031</v>
      </c>
      <c r="L11" s="151"/>
      <c r="M11" s="150"/>
      <c r="N11" s="152"/>
      <c r="O11" s="153"/>
    </row>
    <row r="12" spans="1:15" x14ac:dyDescent="0.2">
      <c r="A12" s="49">
        <v>6</v>
      </c>
      <c r="B12" s="63" t="s">
        <v>143</v>
      </c>
      <c r="C12" s="115">
        <f>ИБР!C15</f>
        <v>1206</v>
      </c>
      <c r="D12" s="121">
        <f>ИНП!AH20</f>
        <v>6.6560261112746144E-5</v>
      </c>
      <c r="E12" s="121">
        <f>ИБР!S15</f>
        <v>0.64186973508004197</v>
      </c>
      <c r="F12" s="121">
        <f t="shared" si="0"/>
        <v>1.0369745989728896E-4</v>
      </c>
      <c r="G12" s="64">
        <v>312.2</v>
      </c>
      <c r="H12" s="122">
        <f>F12+G12/(ИНП!$D$3/$C$6*'2021'!E12*'2021'!C12)</f>
        <v>0.33950160835336018</v>
      </c>
      <c r="I12" s="156">
        <f>ИНП!$D$3/$C$6*('2021'!$I$3-'2021'!$H12)*'2021'!$E12*'2021'!$C12</f>
        <v>7383.4170725231343</v>
      </c>
      <c r="J12" s="136"/>
      <c r="K12" s="149">
        <v>7633.1</v>
      </c>
      <c r="L12" s="151"/>
      <c r="M12" s="150"/>
      <c r="N12" s="152"/>
      <c r="O12" s="153"/>
    </row>
    <row r="13" spans="1:15" x14ac:dyDescent="0.2">
      <c r="A13" s="49">
        <v>7</v>
      </c>
      <c r="B13" s="63" t="s">
        <v>144</v>
      </c>
      <c r="C13" s="115">
        <f>ИБР!C16</f>
        <v>1133</v>
      </c>
      <c r="D13" s="121">
        <f>ИНП!AH21</f>
        <v>2.1933514802253656E-3</v>
      </c>
      <c r="E13" s="121">
        <f>ИБР!S16</f>
        <v>0.69774917409641113</v>
      </c>
      <c r="F13" s="121">
        <f t="shared" si="0"/>
        <v>3.1434669672891656E-3</v>
      </c>
      <c r="G13" s="64">
        <v>388.2</v>
      </c>
      <c r="H13" s="122">
        <f>F13+G13/(ИНП!$D$3/$C$6*'2021'!E13*'2021'!C13)</f>
        <v>0.41637814774020371</v>
      </c>
      <c r="I13" s="156">
        <f>ИНП!$D$3/$C$6*('2021'!$I$3-'2021'!$H13)*'2021'!$E13*'2021'!$C13</f>
        <v>7468.1469768673842</v>
      </c>
      <c r="J13" s="136"/>
      <c r="K13" s="155">
        <v>7723.2</v>
      </c>
      <c r="L13" s="151"/>
      <c r="M13" s="150"/>
      <c r="N13" s="152"/>
      <c r="O13" s="153"/>
    </row>
    <row r="14" spans="1:15" x14ac:dyDescent="0.2">
      <c r="A14" s="49">
        <v>8</v>
      </c>
      <c r="B14" s="63" t="s">
        <v>145</v>
      </c>
      <c r="C14" s="115">
        <f>ИБР!C17</f>
        <v>6801</v>
      </c>
      <c r="D14" s="121">
        <f>ИНП!AH22</f>
        <v>0.60310332168266512</v>
      </c>
      <c r="E14" s="121">
        <f>ИБР!S17</f>
        <v>0.3540330664293409</v>
      </c>
      <c r="F14" s="121">
        <f t="shared" si="0"/>
        <v>1.7035225770444651</v>
      </c>
      <c r="G14" s="64"/>
      <c r="H14" s="122">
        <f>F14+G14/(ИНП!$D$3/$C$6*'2021'!E14*'2021'!C14)</f>
        <v>1.7035225770444651</v>
      </c>
      <c r="I14" s="156">
        <f>ИНП!$D$3/$C$6*('2021'!$I$3-'2021'!$H14)*'2021'!$E14*'2021'!$C14</f>
        <v>19062.987734053029</v>
      </c>
      <c r="J14" s="136"/>
      <c r="K14" s="149">
        <v>19839.8</v>
      </c>
      <c r="L14" s="151"/>
      <c r="M14" s="150"/>
      <c r="N14" s="152"/>
      <c r="O14" s="153"/>
    </row>
    <row r="15" spans="1:15" x14ac:dyDescent="0.2">
      <c r="A15" s="49">
        <v>9</v>
      </c>
      <c r="B15" s="63" t="s">
        <v>146</v>
      </c>
      <c r="C15" s="115">
        <f>ИБР!C18</f>
        <v>1683</v>
      </c>
      <c r="D15" s="121">
        <f>ИНП!AH23</f>
        <v>5.0499778596609383E-4</v>
      </c>
      <c r="E15" s="121">
        <f>ИБР!S18</f>
        <v>0.57897705418110978</v>
      </c>
      <c r="F15" s="121">
        <f t="shared" si="0"/>
        <v>8.7222417938539836E-4</v>
      </c>
      <c r="G15" s="64">
        <v>186.2</v>
      </c>
      <c r="H15" s="122">
        <f>F15+G15/(ИНП!$D$3/$C$6*'2021'!E15*'2021'!C15)</f>
        <v>0.16167912459954834</v>
      </c>
      <c r="I15" s="156">
        <f>ИНП!$D$3/$C$6*('2021'!$I$3-'2021'!$H15)*'2021'!$E15*'2021'!$C15</f>
        <v>9500.030819066591</v>
      </c>
      <c r="J15" s="136"/>
      <c r="K15" s="149">
        <v>9814.4</v>
      </c>
      <c r="L15" s="151"/>
      <c r="M15" s="150"/>
      <c r="N15" s="152"/>
      <c r="O15" s="153"/>
    </row>
    <row r="16" spans="1:15" x14ac:dyDescent="0.2">
      <c r="A16" s="49">
        <v>10</v>
      </c>
      <c r="B16" s="63" t="s">
        <v>147</v>
      </c>
      <c r="C16" s="115">
        <f>ИБР!C19</f>
        <v>1366</v>
      </c>
      <c r="D16" s="121">
        <f>ИНП!AH24</f>
        <v>1.881624356458686E-4</v>
      </c>
      <c r="E16" s="121">
        <f>ИБР!S19</f>
        <v>0.57934397194050957</v>
      </c>
      <c r="F16" s="121">
        <f t="shared" si="0"/>
        <v>3.2478535163767998E-4</v>
      </c>
      <c r="G16" s="64">
        <v>219.3</v>
      </c>
      <c r="H16" s="122">
        <f>F16+G16/(ИНП!$D$3/$C$6*'2021'!E16*'2021'!C16)</f>
        <v>0.2335212233025761</v>
      </c>
      <c r="I16" s="156">
        <f>ИНП!$D$3/$C$6*('2021'!$I$3-'2021'!$H16)*'2021'!$E16*'2021'!$C16</f>
        <v>7647.9863484630487</v>
      </c>
      <c r="J16" s="136"/>
      <c r="K16" s="149">
        <v>7903.3</v>
      </c>
      <c r="L16" s="151"/>
      <c r="M16" s="150"/>
      <c r="N16" s="152"/>
      <c r="O16" s="153"/>
    </row>
    <row r="17" spans="1:15" x14ac:dyDescent="0.2">
      <c r="A17" s="49">
        <v>11</v>
      </c>
      <c r="B17" s="63" t="s">
        <v>148</v>
      </c>
      <c r="C17" s="115">
        <f>ИБР!C20</f>
        <v>1378</v>
      </c>
      <c r="D17" s="121">
        <f>ИНП!AH25</f>
        <v>9.2920034931608553E-4</v>
      </c>
      <c r="E17" s="121">
        <f>ИБР!S20</f>
        <v>0.49986254231192678</v>
      </c>
      <c r="F17" s="121">
        <f t="shared" si="0"/>
        <v>1.8589117420529605E-3</v>
      </c>
      <c r="G17" s="64">
        <v>223.6</v>
      </c>
      <c r="H17" s="122">
        <f>F17+G17/(ИНП!$D$3/$C$6*'2021'!E17*'2021'!C17)</f>
        <v>0.27503486073632921</v>
      </c>
      <c r="I17" s="156">
        <f>ИНП!$D$3/$C$6*('2021'!$I$3-'2021'!$H17)*'2021'!$E17*'2021'!$C17</f>
        <v>6622.7315750246653</v>
      </c>
      <c r="J17" s="136"/>
      <c r="K17" s="149">
        <v>6845</v>
      </c>
      <c r="L17" s="151"/>
      <c r="M17" s="150"/>
      <c r="N17" s="152"/>
      <c r="O17" s="153"/>
    </row>
    <row r="18" spans="1:15" x14ac:dyDescent="0.2">
      <c r="A18" s="49">
        <v>12</v>
      </c>
      <c r="B18" s="63" t="s">
        <v>149</v>
      </c>
      <c r="C18" s="115">
        <f>ИБР!C21</f>
        <v>1121</v>
      </c>
      <c r="D18" s="121">
        <f>ИНП!AH26</f>
        <v>6.5424600177770806E-5</v>
      </c>
      <c r="E18" s="121">
        <f>ИБР!S21</f>
        <v>0.56650592814192402</v>
      </c>
      <c r="F18" s="121">
        <f t="shared" si="0"/>
        <v>1.1548793565560058E-4</v>
      </c>
      <c r="G18" s="64">
        <v>0</v>
      </c>
      <c r="H18" s="122">
        <f>F18+G18/(ИНП!$D$3/$C$6*'2021'!E18*'2021'!C18)</f>
        <v>1.1548793565560058E-4</v>
      </c>
      <c r="I18" s="156">
        <f>ИНП!$D$3/$C$6*('2021'!$I$3-'2021'!$H18)*'2021'!$E18*'2021'!$C18</f>
        <v>6313.3330775185623</v>
      </c>
      <c r="J18" s="136"/>
      <c r="K18" s="149">
        <v>6518.2</v>
      </c>
      <c r="L18" s="151"/>
      <c r="M18" s="150"/>
      <c r="N18" s="151"/>
      <c r="O18" s="153"/>
    </row>
    <row r="19" spans="1:15" x14ac:dyDescent="0.2">
      <c r="K19" s="119">
        <f>SUM(K7:K18)</f>
        <v>111901.99999999999</v>
      </c>
    </row>
    <row r="20" spans="1:15" x14ac:dyDescent="0.2">
      <c r="A20" s="119">
        <v>1</v>
      </c>
      <c r="C20" s="119">
        <v>2020</v>
      </c>
      <c r="D20" s="119">
        <v>2021</v>
      </c>
      <c r="E20" s="119">
        <v>2022</v>
      </c>
    </row>
    <row r="21" spans="1:15" x14ac:dyDescent="0.2">
      <c r="A21" s="119">
        <v>2</v>
      </c>
      <c r="B21" s="119" t="s">
        <v>154</v>
      </c>
      <c r="C21" s="119">
        <v>249.4</v>
      </c>
      <c r="D21" s="119">
        <v>106.9</v>
      </c>
      <c r="E21" s="119">
        <v>181.2</v>
      </c>
    </row>
    <row r="22" spans="1:15" x14ac:dyDescent="0.2">
      <c r="A22" s="119">
        <v>3</v>
      </c>
      <c r="B22" s="119" t="s">
        <v>155</v>
      </c>
      <c r="C22" s="119">
        <v>527.1</v>
      </c>
      <c r="D22" s="119">
        <v>454.8</v>
      </c>
      <c r="E22" s="119">
        <v>507.6</v>
      </c>
    </row>
    <row r="23" spans="1:15" x14ac:dyDescent="0.2">
      <c r="A23" s="119">
        <v>4</v>
      </c>
      <c r="B23" s="119" t="s">
        <v>156</v>
      </c>
      <c r="C23" s="119">
        <v>345.2</v>
      </c>
      <c r="D23" s="119">
        <v>326.89999999999998</v>
      </c>
      <c r="E23" s="119">
        <v>291.7</v>
      </c>
    </row>
    <row r="24" spans="1:15" x14ac:dyDescent="0.2">
      <c r="A24" s="119">
        <v>5</v>
      </c>
      <c r="B24" s="119" t="s">
        <v>157</v>
      </c>
      <c r="C24" s="119">
        <v>31</v>
      </c>
      <c r="D24" s="119">
        <v>0</v>
      </c>
      <c r="E24" s="119">
        <v>0</v>
      </c>
    </row>
    <row r="25" spans="1:15" x14ac:dyDescent="0.2">
      <c r="A25" s="119">
        <v>6</v>
      </c>
      <c r="B25" s="119" t="s">
        <v>158</v>
      </c>
      <c r="C25" s="119">
        <v>422.3</v>
      </c>
      <c r="D25" s="119">
        <v>312.2</v>
      </c>
      <c r="E25" s="119">
        <v>381.5</v>
      </c>
    </row>
    <row r="26" spans="1:15" x14ac:dyDescent="0.2">
      <c r="A26" s="119">
        <v>7</v>
      </c>
      <c r="B26" s="119" t="s">
        <v>159</v>
      </c>
      <c r="C26" s="119">
        <v>419.6</v>
      </c>
      <c r="D26" s="119">
        <v>388.2</v>
      </c>
      <c r="E26" s="119">
        <v>376.4</v>
      </c>
    </row>
    <row r="27" spans="1:15" x14ac:dyDescent="0.2">
      <c r="A27" s="119">
        <v>9</v>
      </c>
      <c r="B27" s="119" t="s">
        <v>160</v>
      </c>
      <c r="C27" s="119">
        <v>337.8</v>
      </c>
      <c r="D27" s="119">
        <v>186.2</v>
      </c>
      <c r="E27" s="119">
        <v>273.8</v>
      </c>
    </row>
    <row r="28" spans="1:15" x14ac:dyDescent="0.2">
      <c r="A28" s="119">
        <v>10</v>
      </c>
      <c r="B28" s="119" t="s">
        <v>161</v>
      </c>
      <c r="C28" s="119">
        <v>326.10000000000002</v>
      </c>
      <c r="D28" s="119">
        <v>219.3</v>
      </c>
      <c r="E28" s="119">
        <v>264.2</v>
      </c>
    </row>
    <row r="29" spans="1:15" x14ac:dyDescent="0.2">
      <c r="A29" s="119">
        <v>11</v>
      </c>
      <c r="B29" s="119" t="s">
        <v>162</v>
      </c>
      <c r="C29" s="119">
        <v>354.2</v>
      </c>
      <c r="D29" s="119">
        <v>223.6</v>
      </c>
      <c r="E29" s="119">
        <v>300.5</v>
      </c>
    </row>
    <row r="30" spans="1:15" x14ac:dyDescent="0.2">
      <c r="A30" s="119">
        <v>12</v>
      </c>
      <c r="B30" s="119" t="s">
        <v>163</v>
      </c>
      <c r="C30" s="119">
        <v>238.4</v>
      </c>
      <c r="D30" s="119">
        <v>0</v>
      </c>
      <c r="E30" s="119">
        <v>0</v>
      </c>
    </row>
  </sheetData>
  <mergeCells count="11">
    <mergeCell ref="E4:E5"/>
    <mergeCell ref="A2:I2"/>
    <mergeCell ref="I4:I5"/>
    <mergeCell ref="G4:G5"/>
    <mergeCell ref="H4:H5"/>
    <mergeCell ref="F4:F5"/>
    <mergeCell ref="A3:E3"/>
    <mergeCell ref="A4:A5"/>
    <mergeCell ref="B4:B5"/>
    <mergeCell ref="C4:C5"/>
    <mergeCell ref="D4:D5"/>
  </mergeCells>
  <phoneticPr fontId="83" type="noConversion"/>
  <pageMargins left="0.7" right="0.7" top="0.75" bottom="0.75" header="0.3" footer="0.3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6" sqref="I6"/>
    </sheetView>
  </sheetViews>
  <sheetFormatPr defaultRowHeight="12.75" x14ac:dyDescent="0.2"/>
  <cols>
    <col min="1" max="1" width="9.140625" style="119"/>
    <col min="2" max="2" width="21.7109375" style="119" customWidth="1"/>
    <col min="3" max="3" width="11.28515625" style="119" customWidth="1"/>
    <col min="4" max="4" width="12.140625" style="119" customWidth="1"/>
    <col min="5" max="5" width="12.5703125" style="119" customWidth="1"/>
    <col min="6" max="6" width="13.28515625" style="119" customWidth="1"/>
    <col min="7" max="7" width="13.85546875" style="119" customWidth="1"/>
    <col min="8" max="8" width="16.7109375" style="119" customWidth="1"/>
    <col min="9" max="9" width="15.28515625" style="119" customWidth="1"/>
    <col min="10" max="10" width="19" style="119" customWidth="1"/>
    <col min="11" max="11" width="12" style="119" customWidth="1"/>
    <col min="12" max="12" width="10.28515625" style="119" customWidth="1"/>
    <col min="13" max="13" width="11.42578125" style="119" customWidth="1"/>
    <col min="14" max="14" width="11.140625" style="119" customWidth="1"/>
    <col min="15" max="16384" width="9.140625" style="119"/>
  </cols>
  <sheetData>
    <row r="1" spans="1:15" ht="25.5" x14ac:dyDescent="0.35">
      <c r="A1" s="68" t="s">
        <v>101</v>
      </c>
      <c r="B1" s="68"/>
      <c r="C1" s="68"/>
      <c r="D1" s="68"/>
      <c r="E1" s="68"/>
      <c r="J1" s="126"/>
      <c r="K1" s="126"/>
    </row>
    <row r="2" spans="1:15" ht="20.25" x14ac:dyDescent="0.3">
      <c r="A2" s="199" t="s">
        <v>4</v>
      </c>
      <c r="B2" s="199"/>
      <c r="C2" s="199"/>
      <c r="D2" s="199"/>
      <c r="E2" s="199"/>
      <c r="F2" s="199"/>
      <c r="G2" s="199"/>
      <c r="H2" s="199"/>
      <c r="I2" s="199"/>
      <c r="J2" s="126">
        <v>61028</v>
      </c>
      <c r="K2" s="126"/>
    </row>
    <row r="3" spans="1:15" ht="19.5" thickBot="1" x14ac:dyDescent="0.35">
      <c r="A3" s="197"/>
      <c r="B3" s="197"/>
      <c r="C3" s="197"/>
      <c r="D3" s="197"/>
      <c r="E3" s="197"/>
      <c r="H3" s="117" t="s">
        <v>134</v>
      </c>
      <c r="I3" s="120">
        <v>8.1308741931807411</v>
      </c>
      <c r="J3" s="133">
        <v>147077</v>
      </c>
      <c r="K3" s="133">
        <v>208105</v>
      </c>
    </row>
    <row r="4" spans="1:15" ht="34.5" customHeight="1" thickBot="1" x14ac:dyDescent="0.25">
      <c r="A4" s="189" t="s">
        <v>0</v>
      </c>
      <c r="B4" s="189" t="s">
        <v>5</v>
      </c>
      <c r="C4" s="189" t="s">
        <v>133</v>
      </c>
      <c r="D4" s="189" t="s">
        <v>104</v>
      </c>
      <c r="E4" s="189" t="s">
        <v>105</v>
      </c>
      <c r="F4" s="205" t="s">
        <v>103</v>
      </c>
      <c r="G4" s="189" t="s">
        <v>107</v>
      </c>
      <c r="H4" s="203" t="s">
        <v>106</v>
      </c>
      <c r="I4" s="203" t="s">
        <v>135</v>
      </c>
      <c r="J4" s="133">
        <v>15607.9</v>
      </c>
      <c r="K4" s="154">
        <v>104563.1</v>
      </c>
    </row>
    <row r="5" spans="1:15" ht="113.25" customHeight="1" x14ac:dyDescent="0.2">
      <c r="A5" s="190"/>
      <c r="B5" s="190"/>
      <c r="C5" s="190"/>
      <c r="D5" s="190"/>
      <c r="E5" s="190"/>
      <c r="F5" s="206"/>
      <c r="G5" s="190"/>
      <c r="H5" s="204"/>
      <c r="I5" s="204"/>
      <c r="J5" s="144">
        <v>88955.199999999997</v>
      </c>
      <c r="K5" s="146"/>
      <c r="L5" s="146"/>
      <c r="M5" s="147"/>
      <c r="N5" s="148"/>
    </row>
    <row r="6" spans="1:15" ht="90.75" customHeight="1" x14ac:dyDescent="0.2">
      <c r="A6" s="42">
        <f>COUNT(C7:C18)</f>
        <v>12</v>
      </c>
      <c r="B6" s="135" t="s">
        <v>1</v>
      </c>
      <c r="C6" s="44">
        <f>SUM(C7:C18)</f>
        <v>21436</v>
      </c>
      <c r="D6" s="44"/>
      <c r="E6" s="44"/>
      <c r="F6" s="44"/>
      <c r="G6" s="118">
        <f>SUM(G7:G18)</f>
        <v>2576.9</v>
      </c>
      <c r="H6" s="44"/>
      <c r="I6" s="123">
        <f>SUM(I7:I18)</f>
        <v>104563.10000000003</v>
      </c>
      <c r="J6" s="145" t="s">
        <v>137</v>
      </c>
      <c r="K6" s="149"/>
      <c r="L6" s="149"/>
      <c r="M6" s="150"/>
      <c r="N6" s="149"/>
    </row>
    <row r="7" spans="1:15" x14ac:dyDescent="0.2">
      <c r="A7" s="49">
        <v>1</v>
      </c>
      <c r="B7" s="63" t="s">
        <v>138</v>
      </c>
      <c r="C7" s="115">
        <f>ИБР!C10</f>
        <v>1868</v>
      </c>
      <c r="D7" s="121">
        <f>ИНП!AI15</f>
        <v>1.9921367405641678E-4</v>
      </c>
      <c r="E7" s="121">
        <f>ИБР!S10</f>
        <v>0.66861450901243602</v>
      </c>
      <c r="F7" s="121">
        <f t="shared" ref="F7:F18" si="0">D7/E7</f>
        <v>2.9794997172684964E-4</v>
      </c>
      <c r="G7" s="64"/>
      <c r="H7" s="122">
        <f>F7+G7/(ИНП!$D$3/$C$6*'2022'!E7*'2022'!C7)</f>
        <v>2.9794997172684964E-4</v>
      </c>
      <c r="I7" s="140">
        <f>ИНП!$D$3/$C$6*('2022'!$I$3-'2022'!$H7)*'2022'!$E7*'2022'!$C7</f>
        <v>12067.116975293397</v>
      </c>
      <c r="J7" s="136"/>
      <c r="K7" s="136">
        <v>12359.2</v>
      </c>
      <c r="L7" s="151"/>
      <c r="M7" s="150"/>
      <c r="N7" s="152"/>
      <c r="O7" s="141"/>
    </row>
    <row r="8" spans="1:15" x14ac:dyDescent="0.2">
      <c r="A8" s="49">
        <v>2</v>
      </c>
      <c r="B8" s="63" t="s">
        <v>139</v>
      </c>
      <c r="C8" s="115">
        <f>ИБР!C11</f>
        <v>1483</v>
      </c>
      <c r="D8" s="121">
        <f>ИНП!AI16</f>
        <v>2.7078069527882657E-4</v>
      </c>
      <c r="E8" s="121">
        <f>ИБР!S11</f>
        <v>0.59658175727438323</v>
      </c>
      <c r="F8" s="121">
        <f t="shared" si="0"/>
        <v>4.5388698527415347E-4</v>
      </c>
      <c r="G8" s="64">
        <v>181.2</v>
      </c>
      <c r="H8" s="122">
        <f>F8+G8/(ИНП!$D$3/$C$6*'2022'!E8*'2022'!C8)</f>
        <v>0.172806370505978</v>
      </c>
      <c r="I8" s="140">
        <f>ИНП!$D$3/$C$6*('2022'!$I$3-'2022'!$H8)*'2022'!$E8*'2022'!$C8</f>
        <v>8366.5860799472994</v>
      </c>
      <c r="J8" s="136"/>
      <c r="K8" s="136">
        <v>8573.5</v>
      </c>
      <c r="L8" s="151"/>
      <c r="M8" s="150"/>
      <c r="N8" s="152"/>
      <c r="O8" s="141"/>
    </row>
    <row r="9" spans="1:15" x14ac:dyDescent="0.2">
      <c r="A9" s="49">
        <v>3</v>
      </c>
      <c r="B9" s="63" t="s">
        <v>140</v>
      </c>
      <c r="C9" s="115">
        <f>ИБР!C12</f>
        <v>782</v>
      </c>
      <c r="D9" s="121">
        <f>ИНП!AI17</f>
        <v>4.9758308384023376E-5</v>
      </c>
      <c r="E9" s="121">
        <f>ИБР!S12</f>
        <v>0.88651543108523734</v>
      </c>
      <c r="F9" s="121">
        <f t="shared" si="0"/>
        <v>5.6127966462028991E-5</v>
      </c>
      <c r="G9" s="64">
        <v>507.6</v>
      </c>
      <c r="H9" s="122">
        <f>F9+G9/(ИНП!$D$3/$C$6*'2022'!E9*'2022'!C9)</f>
        <v>0.61622397669331641</v>
      </c>
      <c r="I9" s="140">
        <f>ИНП!$D$3/$C$6*('2022'!$I$3-'2022'!$H9)*'2022'!$E9*'2022'!$C9</f>
        <v>6190.5801443073133</v>
      </c>
      <c r="J9" s="136"/>
      <c r="K9" s="136">
        <v>6352.7</v>
      </c>
      <c r="L9" s="151"/>
      <c r="M9" s="150"/>
      <c r="N9" s="152"/>
      <c r="O9" s="141"/>
    </row>
    <row r="10" spans="1:15" x14ac:dyDescent="0.2">
      <c r="A10" s="49">
        <v>4</v>
      </c>
      <c r="B10" s="63" t="s">
        <v>141</v>
      </c>
      <c r="C10" s="115">
        <f>ИБР!C13</f>
        <v>1353</v>
      </c>
      <c r="D10" s="121">
        <f>ИНП!AI18</f>
        <v>2.0731702460184413E-4</v>
      </c>
      <c r="E10" s="121">
        <f>ИБР!S13</f>
        <v>0.6097228116561233</v>
      </c>
      <c r="F10" s="121">
        <f t="shared" si="0"/>
        <v>3.4001848157645865E-4</v>
      </c>
      <c r="G10" s="64">
        <v>291.7</v>
      </c>
      <c r="H10" s="122">
        <f>F10+G10/(ИНП!$D$3/$C$6*'2022'!E10*'2022'!C10)</f>
        <v>0.29790146508602033</v>
      </c>
      <c r="I10" s="140">
        <f>ИНП!$D$3/$C$6*('2022'!$I$3-'2022'!$H10)*'2022'!$E10*'2022'!$C10</f>
        <v>7678.6766930279691</v>
      </c>
      <c r="J10" s="136"/>
      <c r="K10" s="136">
        <v>7871.6</v>
      </c>
      <c r="L10" s="151"/>
      <c r="M10" s="150"/>
      <c r="N10" s="152"/>
      <c r="O10" s="141"/>
    </row>
    <row r="11" spans="1:15" x14ac:dyDescent="0.2">
      <c r="A11" s="49">
        <v>5</v>
      </c>
      <c r="B11" s="63" t="s">
        <v>142</v>
      </c>
      <c r="C11" s="115">
        <f>ИБР!C14</f>
        <v>1262</v>
      </c>
      <c r="D11" s="121">
        <f>ИНП!AI19</f>
        <v>1.8181491588437675E-4</v>
      </c>
      <c r="E11" s="121">
        <f>ИБР!S14</f>
        <v>0.69721057665632313</v>
      </c>
      <c r="F11" s="121">
        <f t="shared" si="0"/>
        <v>2.6077475295386833E-4</v>
      </c>
      <c r="G11" s="64">
        <v>0</v>
      </c>
      <c r="H11" s="122">
        <f>F11+G11/(ИНП!$D$3/$C$6*'2022'!E11*'2022'!C11)</f>
        <v>2.6077475295386833E-4</v>
      </c>
      <c r="I11" s="140">
        <f>ИНП!$D$3/$C$6*('2022'!$I$3-'2022'!$H11)*'2022'!$E11*'2022'!$C11</f>
        <v>8501.1202915748872</v>
      </c>
      <c r="J11" s="136"/>
      <c r="K11" s="136">
        <v>8706.9</v>
      </c>
      <c r="L11" s="151"/>
      <c r="M11" s="150"/>
      <c r="N11" s="152"/>
      <c r="O11" s="141"/>
    </row>
    <row r="12" spans="1:15" x14ac:dyDescent="0.2">
      <c r="A12" s="49">
        <v>6</v>
      </c>
      <c r="B12" s="63" t="s">
        <v>143</v>
      </c>
      <c r="C12" s="115">
        <f>ИБР!C15</f>
        <v>1206</v>
      </c>
      <c r="D12" s="121">
        <f>ИНП!AI20</f>
        <v>6.795516490214536E-5</v>
      </c>
      <c r="E12" s="121">
        <f>ИБР!S15</f>
        <v>0.64186973508004197</v>
      </c>
      <c r="F12" s="121">
        <f t="shared" si="0"/>
        <v>1.0587064818326614E-4</v>
      </c>
      <c r="G12" s="64">
        <v>381.5</v>
      </c>
      <c r="H12" s="122">
        <f>F12+G12/(ИНП!$D$3/$C$6*'2022'!E12*'2022'!C12)</f>
        <v>0.41484098597763902</v>
      </c>
      <c r="I12" s="140">
        <f>ИНП!$D$3/$C$6*('2022'!$I$3-'2022'!$H12)*'2022'!$E12*'2022'!$C12</f>
        <v>7097.7029910033161</v>
      </c>
      <c r="J12" s="136"/>
      <c r="K12" s="136">
        <v>7278.7</v>
      </c>
      <c r="L12" s="151"/>
      <c r="M12" s="150"/>
      <c r="N12" s="152"/>
      <c r="O12" s="141"/>
    </row>
    <row r="13" spans="1:15" x14ac:dyDescent="0.2">
      <c r="A13" s="49">
        <v>7</v>
      </c>
      <c r="B13" s="63" t="s">
        <v>144</v>
      </c>
      <c r="C13" s="115">
        <f>ИБР!C16</f>
        <v>1133</v>
      </c>
      <c r="D13" s="121">
        <f>ИНП!AI21</f>
        <v>2.2294646319636784E-3</v>
      </c>
      <c r="E13" s="121">
        <f>ИБР!S16</f>
        <v>0.69774917409641113</v>
      </c>
      <c r="F13" s="121">
        <f t="shared" si="0"/>
        <v>3.1952236057475052E-3</v>
      </c>
      <c r="G13" s="64">
        <v>376.4</v>
      </c>
      <c r="H13" s="122">
        <f>F13+G13/(ИНП!$D$3/$C$6*'2022'!E13*'2022'!C13)</f>
        <v>0.4038689326292535</v>
      </c>
      <c r="I13" s="140">
        <f>ИНП!$D$3/$C$6*('2022'!$I$3-'2022'!$H13)*'2022'!$E13*'2022'!$C13</f>
        <v>7258.8860076690307</v>
      </c>
      <c r="J13" s="136"/>
      <c r="K13" s="136">
        <v>7443.8</v>
      </c>
      <c r="L13" s="151"/>
      <c r="M13" s="150"/>
      <c r="N13" s="152"/>
      <c r="O13" s="141"/>
    </row>
    <row r="14" spans="1:15" x14ac:dyDescent="0.2">
      <c r="A14" s="49">
        <v>8</v>
      </c>
      <c r="B14" s="63" t="s">
        <v>145</v>
      </c>
      <c r="C14" s="115">
        <f>ИБР!C17</f>
        <v>6801</v>
      </c>
      <c r="D14" s="121">
        <f>ИНП!AI22</f>
        <v>0.60290077214243065</v>
      </c>
      <c r="E14" s="121">
        <f>ИБР!S17</f>
        <v>0.3540330664293409</v>
      </c>
      <c r="F14" s="121">
        <f t="shared" si="0"/>
        <v>1.702950456642613</v>
      </c>
      <c r="G14" s="64"/>
      <c r="H14" s="122">
        <f>F14+G14/(ИНП!$D$3/$C$6*'2022'!E14*'2022'!C14)</f>
        <v>1.702950456642613</v>
      </c>
      <c r="I14" s="140">
        <f>ИНП!$D$3/$C$6*('2022'!$I$3-'2022'!$H14)*'2022'!$E14*'2022'!$C14</f>
        <v>18391.48700071569</v>
      </c>
      <c r="J14" s="136"/>
      <c r="K14" s="136">
        <v>18954.599999999999</v>
      </c>
      <c r="L14" s="151"/>
      <c r="M14" s="150"/>
      <c r="N14" s="152"/>
      <c r="O14" s="141"/>
    </row>
    <row r="15" spans="1:15" x14ac:dyDescent="0.2">
      <c r="A15" s="49">
        <v>9</v>
      </c>
      <c r="B15" s="63" t="s">
        <v>146</v>
      </c>
      <c r="C15" s="115">
        <f>ИБР!C18</f>
        <v>1683</v>
      </c>
      <c r="D15" s="121">
        <f>ИНП!AI23</f>
        <v>4.9716620729116053E-4</v>
      </c>
      <c r="E15" s="121">
        <f>ИБР!S18</f>
        <v>0.57897705418110978</v>
      </c>
      <c r="F15" s="121">
        <f t="shared" si="0"/>
        <v>8.5869760070947821E-4</v>
      </c>
      <c r="G15" s="64">
        <v>273.8</v>
      </c>
      <c r="H15" s="122">
        <f>F15+G15/(ИНП!$D$3/$C$6*'2022'!E15*'2022'!C15)</f>
        <v>0.2373191129339029</v>
      </c>
      <c r="I15" s="140">
        <f>ИНП!$D$3/$C$6*('2022'!$I$3-'2022'!$H15)*'2022'!$E15*'2022'!$C15</f>
        <v>9140.0303849005195</v>
      </c>
      <c r="J15" s="136"/>
      <c r="K15" s="136">
        <v>9367.9</v>
      </c>
      <c r="L15" s="151"/>
      <c r="M15" s="150"/>
      <c r="N15" s="152"/>
      <c r="O15" s="141"/>
    </row>
    <row r="16" spans="1:15" x14ac:dyDescent="0.2">
      <c r="A16" s="49">
        <v>10</v>
      </c>
      <c r="B16" s="63" t="s">
        <v>147</v>
      </c>
      <c r="C16" s="115">
        <f>ИБР!C19</f>
        <v>1366</v>
      </c>
      <c r="D16" s="121">
        <f>ИНП!AI24</f>
        <v>1.7123949334987306E-4</v>
      </c>
      <c r="E16" s="121">
        <f>ИБР!S19</f>
        <v>0.57934397194050957</v>
      </c>
      <c r="F16" s="121">
        <f t="shared" si="0"/>
        <v>2.9557482539484665E-4</v>
      </c>
      <c r="G16" s="64">
        <v>264.2</v>
      </c>
      <c r="H16" s="122">
        <f>F16+G16/(ИНП!$D$3/$C$6*'2022'!E16*'2022'!C16)</f>
        <v>0.28123720230664395</v>
      </c>
      <c r="I16" s="140">
        <f>ИНП!$D$3/$C$6*('2022'!$I$3-'2022'!$H16)*'2022'!$E16*'2022'!$C16</f>
        <v>7381.8682962080911</v>
      </c>
      <c r="J16" s="136"/>
      <c r="K16" s="136">
        <v>7566.9</v>
      </c>
      <c r="L16" s="151"/>
      <c r="M16" s="150"/>
      <c r="N16" s="152"/>
      <c r="O16" s="141"/>
    </row>
    <row r="17" spans="1:15" x14ac:dyDescent="0.2">
      <c r="A17" s="49">
        <v>11</v>
      </c>
      <c r="B17" s="63" t="s">
        <v>148</v>
      </c>
      <c r="C17" s="115">
        <f>ИБР!C20</f>
        <v>1378</v>
      </c>
      <c r="D17" s="121">
        <f>ИНП!AI25</f>
        <v>9.348951887563191E-4</v>
      </c>
      <c r="E17" s="121">
        <f>ИБР!S20</f>
        <v>0.49986254231192678</v>
      </c>
      <c r="F17" s="121">
        <f t="shared" si="0"/>
        <v>1.8703045529923324E-3</v>
      </c>
      <c r="G17" s="64">
        <v>300.5</v>
      </c>
      <c r="H17" s="122">
        <f>F17+G17/(ИНП!$D$3/$C$6*'2022'!E17*'2022'!C17)</f>
        <v>0.36899630040621251</v>
      </c>
      <c r="I17" s="140">
        <f>ИНП!$D$3/$C$6*('2022'!$I$3-'2022'!$H17)*'2022'!$E17*'2022'!$C17</f>
        <v>6353.2529244027583</v>
      </c>
      <c r="J17" s="136"/>
      <c r="K17" s="136">
        <v>6514.3</v>
      </c>
      <c r="L17" s="151"/>
      <c r="M17" s="150"/>
      <c r="N17" s="152"/>
      <c r="O17" s="141"/>
    </row>
    <row r="18" spans="1:15" x14ac:dyDescent="0.2">
      <c r="A18" s="49">
        <v>12</v>
      </c>
      <c r="B18" s="63" t="s">
        <v>149</v>
      </c>
      <c r="C18" s="115">
        <f>ИБР!C21</f>
        <v>1121</v>
      </c>
      <c r="D18" s="121">
        <f>ИНП!AI26</f>
        <v>6.5721108353154252E-5</v>
      </c>
      <c r="E18" s="121">
        <f>ИБР!S21</f>
        <v>0.56650592814192402</v>
      </c>
      <c r="F18" s="121">
        <f t="shared" si="0"/>
        <v>1.1601133384201666E-4</v>
      </c>
      <c r="G18" s="64">
        <v>0</v>
      </c>
      <c r="H18" s="122">
        <f>F18+G18/(ИНП!$D$3/$C$6*'2022'!E18*'2022'!C18)</f>
        <v>1.1601133384201666E-4</v>
      </c>
      <c r="I18" s="140">
        <f>ИНП!$D$3/$C$6*('2022'!$I$3-'2022'!$H18)*'2022'!$E18*'2022'!$C18</f>
        <v>6135.7922109497804</v>
      </c>
      <c r="J18" s="136"/>
      <c r="K18" s="136">
        <v>6284.3</v>
      </c>
      <c r="L18" s="151"/>
      <c r="M18" s="150"/>
      <c r="N18" s="151"/>
      <c r="O18" s="141"/>
    </row>
    <row r="19" spans="1:15" x14ac:dyDescent="0.2">
      <c r="J19" s="136"/>
      <c r="K19" s="136">
        <f>SUM(K7:K18)</f>
        <v>107274.4</v>
      </c>
    </row>
    <row r="20" spans="1:15" x14ac:dyDescent="0.2">
      <c r="C20" s="119">
        <v>2020</v>
      </c>
      <c r="D20" s="119">
        <v>2021</v>
      </c>
      <c r="E20" s="119">
        <v>2022</v>
      </c>
    </row>
    <row r="21" spans="1:15" x14ac:dyDescent="0.2">
      <c r="B21" s="119" t="s">
        <v>154</v>
      </c>
      <c r="C21" s="119">
        <v>249.4</v>
      </c>
      <c r="D21" s="119">
        <v>106.9</v>
      </c>
      <c r="E21" s="119">
        <v>181.2</v>
      </c>
    </row>
    <row r="22" spans="1:15" x14ac:dyDescent="0.2">
      <c r="B22" s="119" t="s">
        <v>155</v>
      </c>
      <c r="C22" s="119">
        <v>527.1</v>
      </c>
      <c r="D22" s="119">
        <v>454.8</v>
      </c>
      <c r="E22" s="119">
        <v>507.6</v>
      </c>
    </row>
    <row r="23" spans="1:15" x14ac:dyDescent="0.2">
      <c r="B23" s="119" t="s">
        <v>156</v>
      </c>
      <c r="C23" s="119">
        <v>345.2</v>
      </c>
      <c r="D23" s="119">
        <v>326.89999999999998</v>
      </c>
      <c r="E23" s="119">
        <v>291.7</v>
      </c>
    </row>
    <row r="24" spans="1:15" x14ac:dyDescent="0.2">
      <c r="B24" s="119" t="s">
        <v>157</v>
      </c>
      <c r="C24" s="119">
        <v>31</v>
      </c>
      <c r="D24" s="119">
        <v>0</v>
      </c>
      <c r="E24" s="119">
        <v>0</v>
      </c>
    </row>
    <row r="25" spans="1:15" x14ac:dyDescent="0.2">
      <c r="B25" s="119" t="s">
        <v>158</v>
      </c>
      <c r="C25" s="119">
        <v>422.3</v>
      </c>
      <c r="D25" s="119">
        <v>312.2</v>
      </c>
      <c r="E25" s="119">
        <v>381.5</v>
      </c>
    </row>
    <row r="26" spans="1:15" x14ac:dyDescent="0.2">
      <c r="B26" s="119" t="s">
        <v>159</v>
      </c>
      <c r="C26" s="119">
        <v>419.6</v>
      </c>
      <c r="D26" s="119">
        <v>388.2</v>
      </c>
      <c r="E26" s="119">
        <v>376.4</v>
      </c>
    </row>
    <row r="27" spans="1:15" x14ac:dyDescent="0.2">
      <c r="B27" s="119" t="s">
        <v>160</v>
      </c>
      <c r="C27" s="119">
        <v>337.8</v>
      </c>
      <c r="D27" s="119">
        <v>186.2</v>
      </c>
      <c r="E27" s="119">
        <v>273.8</v>
      </c>
    </row>
    <row r="28" spans="1:15" x14ac:dyDescent="0.2">
      <c r="B28" s="119" t="s">
        <v>161</v>
      </c>
      <c r="C28" s="119">
        <v>326.10000000000002</v>
      </c>
      <c r="D28" s="119">
        <v>219.3</v>
      </c>
      <c r="E28" s="119">
        <v>264.2</v>
      </c>
    </row>
    <row r="29" spans="1:15" x14ac:dyDescent="0.2">
      <c r="B29" s="119" t="s">
        <v>162</v>
      </c>
      <c r="C29" s="119">
        <v>354.2</v>
      </c>
      <c r="D29" s="119">
        <v>223.6</v>
      </c>
      <c r="E29" s="119">
        <v>300.5</v>
      </c>
    </row>
    <row r="30" spans="1:15" x14ac:dyDescent="0.2">
      <c r="B30" s="119" t="s">
        <v>163</v>
      </c>
      <c r="C30" s="119">
        <v>238.4</v>
      </c>
      <c r="D30" s="119">
        <v>0</v>
      </c>
      <c r="E30" s="119">
        <v>0</v>
      </c>
    </row>
  </sheetData>
  <mergeCells count="11">
    <mergeCell ref="D4:D5"/>
    <mergeCell ref="E4:E5"/>
    <mergeCell ref="A2:I2"/>
    <mergeCell ref="I4:I5"/>
    <mergeCell ref="G4:G5"/>
    <mergeCell ref="H4:H5"/>
    <mergeCell ref="F4:F5"/>
    <mergeCell ref="A3:E3"/>
    <mergeCell ref="A4:A5"/>
    <mergeCell ref="B4:B5"/>
    <mergeCell ref="C4:C5"/>
  </mergeCells>
  <phoneticPr fontId="83" type="noConversion"/>
  <pageMargins left="0.7" right="0.7" top="0.75" bottom="0.75" header="0.3" footer="0.3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85" workbookViewId="0">
      <pane xSplit="2" ySplit="10" topLeftCell="C11" activePane="bottomRight" state="frozen"/>
      <selection activeCell="A15" sqref="A15:IV15"/>
      <selection pane="topRight" activeCell="A15" sqref="A15:IV15"/>
      <selection pane="bottomLeft" activeCell="A15" sqref="A15:IV15"/>
      <selection pane="bottomRight" activeCell="A15" sqref="A15:IV15"/>
    </sheetView>
  </sheetViews>
  <sheetFormatPr defaultRowHeight="15.75" x14ac:dyDescent="0.25"/>
  <cols>
    <col min="1" max="1" width="6" style="8" bestFit="1" customWidth="1"/>
    <col min="2" max="2" width="39.140625" style="8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07" t="s">
        <v>9</v>
      </c>
      <c r="B1" s="207"/>
      <c r="C1" s="207"/>
      <c r="D1" s="207"/>
      <c r="E1" s="207"/>
      <c r="F1" s="207"/>
      <c r="G1" s="207"/>
      <c r="H1" s="207"/>
    </row>
    <row r="2" spans="1:13" ht="30.75" x14ac:dyDescent="0.5">
      <c r="A2" s="207" t="s">
        <v>44</v>
      </c>
      <c r="B2" s="207"/>
      <c r="C2" s="207"/>
      <c r="D2" s="207"/>
      <c r="E2" s="207"/>
      <c r="F2" s="207"/>
      <c r="G2" s="207"/>
      <c r="H2" s="207"/>
    </row>
    <row r="3" spans="1:13" ht="20.25" x14ac:dyDescent="0.3">
      <c r="A3" s="208" t="s">
        <v>4</v>
      </c>
      <c r="B3" s="208"/>
      <c r="C3" s="208"/>
      <c r="D3" s="208"/>
      <c r="E3" s="208"/>
      <c r="F3" s="208"/>
      <c r="G3" s="208"/>
      <c r="H3" s="208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197" t="s">
        <v>43</v>
      </c>
      <c r="D5" s="197"/>
      <c r="E5" s="197"/>
      <c r="F5" s="197"/>
      <c r="G5" s="197"/>
      <c r="H5" s="197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0.3</v>
      </c>
      <c r="E7" s="16">
        <v>0.5</v>
      </c>
      <c r="F7" s="16">
        <v>0.1</v>
      </c>
      <c r="G7" s="17">
        <f>1-D7-E7-F7</f>
        <v>9.999999999999995E-2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74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COUNT(C11:C27)</f>
        <v>17</v>
      </c>
      <c r="B10" s="21" t="s">
        <v>1</v>
      </c>
      <c r="C10" s="22">
        <f>SUM(C11:C27)</f>
        <v>48186</v>
      </c>
      <c r="D10" s="23">
        <f>MAX(D11:D27)</f>
        <v>44182</v>
      </c>
      <c r="E10" s="23">
        <f>MAX(E11:E27)</f>
        <v>44408</v>
      </c>
      <c r="F10" s="23">
        <f>MAX(F11:F27)</f>
        <v>15052</v>
      </c>
      <c r="G10" s="23">
        <f>MAX(G11:G27)</f>
        <v>2690</v>
      </c>
      <c r="H10" s="24"/>
      <c r="J10" s="35">
        <f>SUM(J11:J27)</f>
        <v>130885.46714981167</v>
      </c>
      <c r="K10" s="38">
        <f>J10/C10</f>
        <v>2.716255077196938</v>
      </c>
      <c r="L10" s="39">
        <v>0.75380384613123186</v>
      </c>
      <c r="M10" s="35">
        <f>SUM(M11:M27)</f>
        <v>89999.999999999971</v>
      </c>
    </row>
    <row r="11" spans="1:13" s="7" customFormat="1" x14ac:dyDescent="0.25">
      <c r="A11" s="25">
        <v>1</v>
      </c>
      <c r="B11" s="26" t="s">
        <v>57</v>
      </c>
      <c r="C11" s="27">
        <v>1727</v>
      </c>
      <c r="D11" s="28">
        <v>8461</v>
      </c>
      <c r="E11" s="28">
        <v>6649</v>
      </c>
      <c r="F11" s="28">
        <v>75</v>
      </c>
      <c r="G11" s="28">
        <v>179</v>
      </c>
      <c r="H11" s="29">
        <f>IF(C11=0,0,(D11*$D$7+E11*$E$7+F11*$F$7+G11*$G$7)/C11)</f>
        <v>3.4094962362478278</v>
      </c>
      <c r="J11" s="36">
        <v>888</v>
      </c>
      <c r="K11" s="37">
        <f>J11/C11</f>
        <v>0.51418645049218292</v>
      </c>
      <c r="L11" s="37">
        <f>K11/H11</f>
        <v>0.15081009476580282</v>
      </c>
      <c r="M11" s="36">
        <f>IF($K$10*($L$10-L11)*H11*C11&lt;0,0,$K$10*($L$10-L11)*H11*C11)</f>
        <v>9644.1935070235704</v>
      </c>
    </row>
    <row r="12" spans="1:13" s="7" customFormat="1" x14ac:dyDescent="0.25">
      <c r="A12" s="25">
        <v>2</v>
      </c>
      <c r="B12" s="26" t="s">
        <v>58</v>
      </c>
      <c r="C12" s="27">
        <v>320</v>
      </c>
      <c r="D12" s="28">
        <v>4146</v>
      </c>
      <c r="E12" s="28">
        <v>0</v>
      </c>
      <c r="F12" s="28">
        <v>0</v>
      </c>
      <c r="G12" s="28">
        <v>0</v>
      </c>
      <c r="H12" s="29">
        <f t="shared" ref="H12:H27" si="0">IF(C12=0,0,(D12*$D$7+E12*$E$7+F12*$F$7+G12*$G$7)/C12)</f>
        <v>3.8868749999999999</v>
      </c>
      <c r="J12" s="36">
        <v>54</v>
      </c>
      <c r="K12" s="37">
        <f t="shared" ref="K12:K27" si="1">J12/C12</f>
        <v>0.16875000000000001</v>
      </c>
      <c r="L12" s="37">
        <f t="shared" ref="L12:L27" si="2">K12/H12</f>
        <v>4.3415340086830685E-2</v>
      </c>
      <c r="M12" s="36">
        <f t="shared" ref="M12:M27" si="3">IF($K$10*($L$10-L12)*H12*C12&lt;0,0,$K$10*($L$10-L12)*H12*C12)</f>
        <v>2400.0319853115975</v>
      </c>
    </row>
    <row r="13" spans="1:13" s="7" customFormat="1" x14ac:dyDescent="0.25">
      <c r="A13" s="25">
        <v>3</v>
      </c>
      <c r="B13" s="26" t="s">
        <v>59</v>
      </c>
      <c r="C13" s="27">
        <v>1930</v>
      </c>
      <c r="D13" s="28">
        <v>8972</v>
      </c>
      <c r="E13" s="28">
        <v>6044</v>
      </c>
      <c r="F13" s="28">
        <v>1221</v>
      </c>
      <c r="G13" s="28">
        <v>32</v>
      </c>
      <c r="H13" s="29">
        <f t="shared" si="0"/>
        <v>3.025336787564767</v>
      </c>
      <c r="J13" s="36">
        <v>4606.1060000000007</v>
      </c>
      <c r="K13" s="37">
        <f t="shared" si="1"/>
        <v>2.3865834196891194</v>
      </c>
      <c r="L13" s="37">
        <f t="shared" si="2"/>
        <v>0.78886536847693922</v>
      </c>
      <c r="M13" s="36">
        <f t="shared" si="3"/>
        <v>0</v>
      </c>
    </row>
    <row r="14" spans="1:13" s="7" customFormat="1" x14ac:dyDescent="0.25">
      <c r="A14" s="25">
        <v>4</v>
      </c>
      <c r="B14" s="26" t="s">
        <v>60</v>
      </c>
      <c r="C14" s="27">
        <v>250</v>
      </c>
      <c r="D14" s="28">
        <v>3791</v>
      </c>
      <c r="E14" s="28">
        <v>2481</v>
      </c>
      <c r="F14" s="28">
        <v>0</v>
      </c>
      <c r="G14" s="28">
        <v>1</v>
      </c>
      <c r="H14" s="29">
        <f t="shared" si="0"/>
        <v>9.5115999999999996</v>
      </c>
      <c r="J14" s="36">
        <v>91</v>
      </c>
      <c r="K14" s="37">
        <f t="shared" si="1"/>
        <v>0.36399999999999999</v>
      </c>
      <c r="L14" s="37">
        <f t="shared" si="2"/>
        <v>3.8269060936120106E-2</v>
      </c>
      <c r="M14" s="36">
        <f t="shared" si="3"/>
        <v>4621.6269763237233</v>
      </c>
    </row>
    <row r="15" spans="1:13" s="7" customFormat="1" x14ac:dyDescent="0.25">
      <c r="A15" s="25">
        <v>5</v>
      </c>
      <c r="B15" s="26" t="s">
        <v>61</v>
      </c>
      <c r="C15" s="27">
        <v>23412</v>
      </c>
      <c r="D15" s="28">
        <v>44182</v>
      </c>
      <c r="E15" s="28">
        <v>27624</v>
      </c>
      <c r="F15" s="28">
        <v>14345</v>
      </c>
      <c r="G15" s="28">
        <v>150</v>
      </c>
      <c r="H15" s="29">
        <f t="shared" si="0"/>
        <v>1.2180121305313514</v>
      </c>
      <c r="J15" s="36">
        <v>79553.135999999999</v>
      </c>
      <c r="K15" s="37">
        <f t="shared" si="1"/>
        <v>3.3979641209636084</v>
      </c>
      <c r="L15" s="37">
        <f t="shared" si="2"/>
        <v>2.789762134373214</v>
      </c>
      <c r="M15" s="36">
        <f t="shared" si="3"/>
        <v>0</v>
      </c>
    </row>
    <row r="16" spans="1:13" s="7" customFormat="1" x14ac:dyDescent="0.25">
      <c r="A16" s="25">
        <v>6</v>
      </c>
      <c r="B16" s="26" t="s">
        <v>62</v>
      </c>
      <c r="C16" s="27">
        <v>292</v>
      </c>
      <c r="D16" s="28">
        <v>3860</v>
      </c>
      <c r="E16" s="28">
        <v>2445</v>
      </c>
      <c r="F16" s="28">
        <v>0</v>
      </c>
      <c r="G16" s="28">
        <v>31</v>
      </c>
      <c r="H16" s="29">
        <f t="shared" si="0"/>
        <v>8.1630136986301363</v>
      </c>
      <c r="J16" s="36">
        <v>92</v>
      </c>
      <c r="K16" s="37">
        <f t="shared" si="1"/>
        <v>0.31506849315068491</v>
      </c>
      <c r="L16" s="37">
        <f t="shared" si="2"/>
        <v>3.8597080046987753E-2</v>
      </c>
      <c r="M16" s="36">
        <f t="shared" si="3"/>
        <v>4630.5816053348335</v>
      </c>
    </row>
    <row r="17" spans="1:13" s="7" customFormat="1" x14ac:dyDescent="0.25">
      <c r="A17" s="25">
        <v>7</v>
      </c>
      <c r="B17" s="26" t="s">
        <v>63</v>
      </c>
      <c r="C17" s="27">
        <v>789</v>
      </c>
      <c r="D17" s="28">
        <v>5622</v>
      </c>
      <c r="E17" s="28">
        <v>4651</v>
      </c>
      <c r="F17" s="28">
        <v>29</v>
      </c>
      <c r="G17" s="28">
        <v>6</v>
      </c>
      <c r="H17" s="29">
        <f t="shared" si="0"/>
        <v>5.0894803548795942</v>
      </c>
      <c r="J17" s="36">
        <v>1448.948888194074</v>
      </c>
      <c r="K17" s="37">
        <f t="shared" si="1"/>
        <v>1.8364371206515513</v>
      </c>
      <c r="L17" s="37">
        <f t="shared" si="2"/>
        <v>0.36082998510660275</v>
      </c>
      <c r="M17" s="36">
        <f t="shared" si="3"/>
        <v>4286.3206898806675</v>
      </c>
    </row>
    <row r="18" spans="1:13" s="7" customFormat="1" x14ac:dyDescent="0.25">
      <c r="A18" s="25">
        <v>8</v>
      </c>
      <c r="B18" s="26" t="s">
        <v>64</v>
      </c>
      <c r="C18" s="27">
        <v>9392</v>
      </c>
      <c r="D18" s="28">
        <v>28630</v>
      </c>
      <c r="E18" s="28">
        <v>44408</v>
      </c>
      <c r="F18" s="28">
        <v>15052</v>
      </c>
      <c r="G18" s="28">
        <v>2690</v>
      </c>
      <c r="H18" s="29">
        <f t="shared" si="0"/>
        <v>3.4675468483816014</v>
      </c>
      <c r="J18" s="36">
        <v>32584.818968620351</v>
      </c>
      <c r="K18" s="37">
        <f t="shared" si="1"/>
        <v>3.4694228033028485</v>
      </c>
      <c r="L18" s="37">
        <f t="shared" si="2"/>
        <v>1.0005410034826558</v>
      </c>
      <c r="M18" s="36">
        <f t="shared" si="3"/>
        <v>0</v>
      </c>
    </row>
    <row r="19" spans="1:13" s="7" customFormat="1" x14ac:dyDescent="0.25">
      <c r="A19" s="25">
        <v>9</v>
      </c>
      <c r="B19" s="26" t="s">
        <v>65</v>
      </c>
      <c r="C19" s="27">
        <v>695</v>
      </c>
      <c r="D19" s="28">
        <v>5384</v>
      </c>
      <c r="E19" s="28">
        <v>6795</v>
      </c>
      <c r="F19" s="28">
        <v>0</v>
      </c>
      <c r="G19" s="28">
        <v>35</v>
      </c>
      <c r="H19" s="29">
        <f t="shared" si="0"/>
        <v>7.2175539568345322</v>
      </c>
      <c r="J19" s="36">
        <v>427</v>
      </c>
      <c r="K19" s="37">
        <f t="shared" si="1"/>
        <v>0.61438848920863309</v>
      </c>
      <c r="L19" s="37">
        <f t="shared" si="2"/>
        <v>8.5124197599776727E-2</v>
      </c>
      <c r="M19" s="36">
        <f t="shared" si="3"/>
        <v>9110.9465844526821</v>
      </c>
    </row>
    <row r="20" spans="1:13" s="7" customFormat="1" x14ac:dyDescent="0.25">
      <c r="A20" s="25">
        <v>10</v>
      </c>
      <c r="B20" s="26" t="s">
        <v>66</v>
      </c>
      <c r="C20" s="27">
        <v>939</v>
      </c>
      <c r="D20" s="28">
        <v>6961</v>
      </c>
      <c r="E20" s="28">
        <v>8937</v>
      </c>
      <c r="F20" s="28">
        <v>3</v>
      </c>
      <c r="G20" s="28">
        <v>279</v>
      </c>
      <c r="H20" s="29">
        <f t="shared" si="0"/>
        <v>7.0127795527156538</v>
      </c>
      <c r="I20" s="30"/>
      <c r="J20" s="36">
        <v>443.42857142857144</v>
      </c>
      <c r="K20" s="37">
        <f t="shared" si="1"/>
        <v>0.47223490034991633</v>
      </c>
      <c r="L20" s="37">
        <f t="shared" si="2"/>
        <v>6.7339190801605386E-2</v>
      </c>
      <c r="M20" s="36">
        <f t="shared" si="3"/>
        <v>12278.477298764939</v>
      </c>
    </row>
    <row r="21" spans="1:13" s="7" customFormat="1" x14ac:dyDescent="0.25">
      <c r="A21" s="25">
        <v>11</v>
      </c>
      <c r="B21" s="26" t="s">
        <v>67</v>
      </c>
      <c r="C21" s="27">
        <v>1073</v>
      </c>
      <c r="D21" s="28">
        <v>7369</v>
      </c>
      <c r="E21" s="28">
        <v>3973</v>
      </c>
      <c r="F21" s="28">
        <v>112</v>
      </c>
      <c r="G21" s="28">
        <v>39</v>
      </c>
      <c r="H21" s="29">
        <f t="shared" si="0"/>
        <v>3.9257222739981352</v>
      </c>
      <c r="I21" s="30"/>
      <c r="J21" s="36">
        <v>2237</v>
      </c>
      <c r="K21" s="37">
        <f t="shared" si="1"/>
        <v>2.0848089468779123</v>
      </c>
      <c r="L21" s="37">
        <f t="shared" si="2"/>
        <v>0.53106378937872434</v>
      </c>
      <c r="M21" s="36">
        <f t="shared" si="3"/>
        <v>2548.5207335699611</v>
      </c>
    </row>
    <row r="22" spans="1:13" s="7" customFormat="1" x14ac:dyDescent="0.25">
      <c r="A22" s="25">
        <v>12</v>
      </c>
      <c r="B22" s="26" t="s">
        <v>68</v>
      </c>
      <c r="C22" s="27">
        <v>3096</v>
      </c>
      <c r="D22" s="28">
        <v>12738</v>
      </c>
      <c r="E22" s="28">
        <v>15606</v>
      </c>
      <c r="F22" s="28">
        <v>1678</v>
      </c>
      <c r="G22" s="28">
        <v>1892</v>
      </c>
      <c r="H22" s="29">
        <f t="shared" si="0"/>
        <v>3.8699612403100776</v>
      </c>
      <c r="I22" s="30"/>
      <c r="J22" s="36">
        <v>4045.8241758080071</v>
      </c>
      <c r="K22" s="37">
        <f t="shared" si="1"/>
        <v>1.3067907544599506</v>
      </c>
      <c r="L22" s="37">
        <f t="shared" si="2"/>
        <v>0.33767541153855202</v>
      </c>
      <c r="M22" s="36">
        <f t="shared" si="3"/>
        <v>13542.707894638519</v>
      </c>
    </row>
    <row r="23" spans="1:13" s="7" customFormat="1" x14ac:dyDescent="0.25">
      <c r="A23" s="25">
        <v>13</v>
      </c>
      <c r="B23" s="26" t="s">
        <v>69</v>
      </c>
      <c r="C23" s="27">
        <v>644</v>
      </c>
      <c r="D23" s="28">
        <v>5411</v>
      </c>
      <c r="E23" s="28">
        <v>0</v>
      </c>
      <c r="F23" s="28">
        <v>0</v>
      </c>
      <c r="G23" s="28">
        <v>0</v>
      </c>
      <c r="H23" s="29">
        <f t="shared" si="0"/>
        <v>2.5206521739130432</v>
      </c>
      <c r="I23" s="30"/>
      <c r="J23" s="36">
        <v>573.54838709677415</v>
      </c>
      <c r="K23" s="37">
        <f t="shared" si="1"/>
        <v>0.89060308555399714</v>
      </c>
      <c r="L23" s="37">
        <f t="shared" si="2"/>
        <v>0.3533224832728234</v>
      </c>
      <c r="M23" s="36">
        <f t="shared" si="3"/>
        <v>1765.8412184688966</v>
      </c>
    </row>
    <row r="24" spans="1:13" s="7" customFormat="1" x14ac:dyDescent="0.25">
      <c r="A24" s="25">
        <v>14</v>
      </c>
      <c r="B24" s="26" t="s">
        <v>70</v>
      </c>
      <c r="C24" s="27">
        <v>483</v>
      </c>
      <c r="D24" s="28">
        <v>9288</v>
      </c>
      <c r="E24" s="28">
        <v>3901</v>
      </c>
      <c r="F24" s="28">
        <v>0</v>
      </c>
      <c r="G24" s="28">
        <v>0</v>
      </c>
      <c r="H24" s="29">
        <f t="shared" si="0"/>
        <v>9.8072463768115927</v>
      </c>
      <c r="I24" s="30"/>
      <c r="J24" s="36">
        <v>551.46600000000001</v>
      </c>
      <c r="K24" s="37">
        <f t="shared" si="1"/>
        <v>1.141751552795031</v>
      </c>
      <c r="L24" s="37">
        <f t="shared" si="2"/>
        <v>0.11641917709894659</v>
      </c>
      <c r="M24" s="36">
        <f t="shared" si="3"/>
        <v>8200.991859687203</v>
      </c>
    </row>
    <row r="25" spans="1:13" s="7" customFormat="1" x14ac:dyDescent="0.25">
      <c r="A25" s="25">
        <v>15</v>
      </c>
      <c r="B25" s="26" t="s">
        <v>71</v>
      </c>
      <c r="C25" s="27">
        <v>1255</v>
      </c>
      <c r="D25" s="28">
        <v>6892</v>
      </c>
      <c r="E25" s="28">
        <v>4361</v>
      </c>
      <c r="F25" s="28">
        <v>1855</v>
      </c>
      <c r="G25" s="28">
        <v>189</v>
      </c>
      <c r="H25" s="29">
        <f t="shared" si="0"/>
        <v>3.547808764940239</v>
      </c>
      <c r="I25" s="30"/>
      <c r="J25" s="36">
        <v>1462.2340000000002</v>
      </c>
      <c r="K25" s="37">
        <f t="shared" si="1"/>
        <v>1.1651266932270918</v>
      </c>
      <c r="L25" s="37">
        <f t="shared" si="2"/>
        <v>0.32840741156653569</v>
      </c>
      <c r="M25" s="36">
        <f t="shared" si="3"/>
        <v>5144.7979652378681</v>
      </c>
    </row>
    <row r="26" spans="1:13" s="7" customFormat="1" x14ac:dyDescent="0.25">
      <c r="A26" s="25">
        <v>16</v>
      </c>
      <c r="B26" s="26" t="s">
        <v>72</v>
      </c>
      <c r="C26" s="27">
        <v>925</v>
      </c>
      <c r="D26" s="28">
        <v>6586</v>
      </c>
      <c r="E26" s="28">
        <v>0</v>
      </c>
      <c r="F26" s="28">
        <v>1060</v>
      </c>
      <c r="G26" s="28">
        <v>303</v>
      </c>
      <c r="H26" s="29">
        <f t="shared" si="0"/>
        <v>2.2833513513513517</v>
      </c>
      <c r="I26" s="30"/>
      <c r="J26" s="36">
        <v>936</v>
      </c>
      <c r="K26" s="37">
        <f t="shared" si="1"/>
        <v>1.011891891891892</v>
      </c>
      <c r="L26" s="37">
        <f t="shared" si="2"/>
        <v>0.44316083518772781</v>
      </c>
      <c r="M26" s="36">
        <f t="shared" si="3"/>
        <v>1782.1596833427973</v>
      </c>
    </row>
    <row r="27" spans="1:13" s="7" customFormat="1" x14ac:dyDescent="0.25">
      <c r="A27" s="25">
        <v>17</v>
      </c>
      <c r="B27" s="26" t="s">
        <v>73</v>
      </c>
      <c r="C27" s="27">
        <v>964</v>
      </c>
      <c r="D27" s="28">
        <v>8120</v>
      </c>
      <c r="E27" s="28">
        <v>7222</v>
      </c>
      <c r="F27" s="28">
        <v>200</v>
      </c>
      <c r="G27" s="28">
        <v>198</v>
      </c>
      <c r="H27" s="29">
        <f t="shared" si="0"/>
        <v>6.3141078838174272</v>
      </c>
      <c r="I27" s="30"/>
      <c r="J27" s="36">
        <v>890.95615866388312</v>
      </c>
      <c r="K27" s="37">
        <f t="shared" si="1"/>
        <v>0.92422838035672528</v>
      </c>
      <c r="L27" s="37">
        <f t="shared" si="2"/>
        <v>0.14637513285533996</v>
      </c>
      <c r="M27" s="36">
        <f t="shared" si="3"/>
        <v>10042.801997962735</v>
      </c>
    </row>
    <row r="28" spans="1:13" x14ac:dyDescent="0.25">
      <c r="J28" s="1"/>
      <c r="K28" s="1"/>
      <c r="L28" s="1"/>
      <c r="M28" s="1"/>
    </row>
  </sheetData>
  <sheetProtection autoFilter="0"/>
  <mergeCells count="4">
    <mergeCell ref="A1:H1"/>
    <mergeCell ref="A2:H2"/>
    <mergeCell ref="A3:H3"/>
    <mergeCell ref="C5:H5"/>
  </mergeCells>
  <phoneticPr fontId="83" type="noConversion"/>
  <conditionalFormatting sqref="L11:L27">
    <cfRule type="cellIs" dxfId="5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5" workbookViewId="0">
      <pane xSplit="2" ySplit="10" topLeftCell="C26" activePane="bottomRight" state="frozen"/>
      <selection activeCell="A15" sqref="A15:IV15"/>
      <selection pane="topRight" activeCell="A15" sqref="A15:IV15"/>
      <selection pane="bottomLeft" activeCell="A15" sqref="A15:IV15"/>
      <selection pane="bottomRight" activeCell="A15" sqref="A15:IV15"/>
    </sheetView>
  </sheetViews>
  <sheetFormatPr defaultRowHeight="15.75" x14ac:dyDescent="0.25"/>
  <cols>
    <col min="1" max="1" width="6" style="8" bestFit="1" customWidth="1"/>
    <col min="2" max="2" width="32.42578125" style="8" bestFit="1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07" t="s">
        <v>9</v>
      </c>
      <c r="B1" s="207"/>
      <c r="C1" s="207"/>
      <c r="D1" s="207"/>
      <c r="E1" s="207"/>
      <c r="F1" s="207"/>
      <c r="G1" s="207"/>
      <c r="H1" s="207"/>
    </row>
    <row r="2" spans="1:13" ht="30.75" x14ac:dyDescent="0.5">
      <c r="A2" s="207" t="s">
        <v>44</v>
      </c>
      <c r="B2" s="207"/>
      <c r="C2" s="207"/>
      <c r="D2" s="207"/>
      <c r="E2" s="207"/>
      <c r="F2" s="207"/>
      <c r="G2" s="207"/>
      <c r="H2" s="207"/>
    </row>
    <row r="3" spans="1:13" ht="20.25" x14ac:dyDescent="0.3">
      <c r="A3" s="208" t="s">
        <v>4</v>
      </c>
      <c r="B3" s="208"/>
      <c r="C3" s="208"/>
      <c r="D3" s="208"/>
      <c r="E3" s="208"/>
      <c r="F3" s="208"/>
      <c r="G3" s="208"/>
      <c r="H3" s="208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197" t="s">
        <v>43</v>
      </c>
      <c r="D5" s="197"/>
      <c r="E5" s="197"/>
      <c r="F5" s="197"/>
      <c r="G5" s="197"/>
      <c r="H5" s="197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0.2</v>
      </c>
      <c r="E7" s="16">
        <v>0.5</v>
      </c>
      <c r="F7" s="16">
        <v>0.15</v>
      </c>
      <c r="G7" s="17">
        <f>1-D7-E7-F7</f>
        <v>0.15000000000000005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40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COUNT(C11:C38)</f>
        <v>28</v>
      </c>
      <c r="B10" s="21" t="s">
        <v>1</v>
      </c>
      <c r="C10" s="22">
        <f>SUM(C11:C38)</f>
        <v>73316</v>
      </c>
      <c r="D10" s="23">
        <f>MAX(D11:D38)</f>
        <v>61289</v>
      </c>
      <c r="E10" s="23">
        <f>MAX(E11:E38)</f>
        <v>23307</v>
      </c>
      <c r="F10" s="23">
        <f>MAX(F11:F38)</f>
        <v>14059</v>
      </c>
      <c r="G10" s="23">
        <f>MAX(G11:G38)</f>
        <v>1210</v>
      </c>
      <c r="H10" s="24"/>
      <c r="J10" s="35">
        <f>SUM(J11:J38)</f>
        <v>169348.82247369227</v>
      </c>
      <c r="K10" s="38">
        <f>J10/C10</f>
        <v>2.3098480887349591</v>
      </c>
      <c r="L10" s="39">
        <v>1.5618627671280154</v>
      </c>
      <c r="M10" s="35">
        <f>SUM(M11:M27)</f>
        <v>70000.000000000015</v>
      </c>
    </row>
    <row r="11" spans="1:13" s="7" customFormat="1" x14ac:dyDescent="0.25">
      <c r="A11" s="25">
        <v>1</v>
      </c>
      <c r="B11" s="26" t="s">
        <v>11</v>
      </c>
      <c r="C11" s="27">
        <v>1180</v>
      </c>
      <c r="D11" s="28">
        <v>6349</v>
      </c>
      <c r="E11" s="28">
        <v>2086</v>
      </c>
      <c r="F11" s="28">
        <v>88</v>
      </c>
      <c r="G11" s="28">
        <v>264</v>
      </c>
      <c r="H11" s="29">
        <f>IF(C11=0,0,(D11*$D$7+E11*$E$7+F11*$F$7+G11*$G$7)/C11)</f>
        <v>2.0047457627118641</v>
      </c>
      <c r="J11" s="36">
        <v>5348</v>
      </c>
      <c r="K11" s="37">
        <f>J11/C11</f>
        <v>4.5322033898305083</v>
      </c>
      <c r="L11" s="37">
        <f>K11/H11</f>
        <v>2.2607372336827867</v>
      </c>
      <c r="M11" s="36">
        <f>IF($K$10*($L$10-L11)*H11*C11&lt;0,0,$K$10*($L$10-L11)*H11*C11)</f>
        <v>0</v>
      </c>
    </row>
    <row r="12" spans="1:13" s="7" customFormat="1" x14ac:dyDescent="0.25">
      <c r="A12" s="25">
        <v>2</v>
      </c>
      <c r="B12" s="26" t="s">
        <v>12</v>
      </c>
      <c r="C12" s="27">
        <v>8497</v>
      </c>
      <c r="D12" s="28">
        <v>13825</v>
      </c>
      <c r="E12" s="28">
        <v>3959</v>
      </c>
      <c r="F12" s="28">
        <v>7291</v>
      </c>
      <c r="G12" s="28">
        <v>0</v>
      </c>
      <c r="H12" s="29">
        <f t="shared" ref="H12:H38" si="0">IF(C12=0,0,(D12*$D$7+E12*$E$7+F12*$F$7+G12*$G$7)/C12)</f>
        <v>0.68708367659173819</v>
      </c>
      <c r="J12" s="36">
        <v>11547.104378172589</v>
      </c>
      <c r="K12" s="37">
        <f t="shared" ref="K12:K38" si="1">J12/C12</f>
        <v>1.3589625018444851</v>
      </c>
      <c r="L12" s="37">
        <f t="shared" ref="L12:L38" si="2">K12/H12</f>
        <v>1.977870451799387</v>
      </c>
      <c r="M12" s="36">
        <f t="shared" ref="M12:M38" si="3">IF($K$10*($L$10-L12)*H12*C12&lt;0,0,$K$10*($L$10-L12)*H12*C12)</f>
        <v>0</v>
      </c>
    </row>
    <row r="13" spans="1:13" s="7" customFormat="1" x14ac:dyDescent="0.25">
      <c r="A13" s="25">
        <v>3</v>
      </c>
      <c r="B13" s="26" t="s">
        <v>13</v>
      </c>
      <c r="C13" s="27">
        <v>526</v>
      </c>
      <c r="D13" s="28">
        <v>2782</v>
      </c>
      <c r="E13" s="28">
        <v>861</v>
      </c>
      <c r="F13" s="28">
        <v>11</v>
      </c>
      <c r="G13" s="28">
        <v>0</v>
      </c>
      <c r="H13" s="29">
        <f t="shared" si="0"/>
        <v>1.8793726235741444</v>
      </c>
      <c r="J13" s="36">
        <v>575.08600000000001</v>
      </c>
      <c r="K13" s="37">
        <f t="shared" si="1"/>
        <v>1.093319391634981</v>
      </c>
      <c r="L13" s="37">
        <f t="shared" si="2"/>
        <v>0.58174700318648531</v>
      </c>
      <c r="M13" s="36">
        <f t="shared" si="3"/>
        <v>2237.9966569786388</v>
      </c>
    </row>
    <row r="14" spans="1:13" s="7" customFormat="1" x14ac:dyDescent="0.25">
      <c r="A14" s="25">
        <v>4</v>
      </c>
      <c r="B14" s="26" t="s">
        <v>14</v>
      </c>
      <c r="C14" s="27">
        <v>832</v>
      </c>
      <c r="D14" s="28">
        <v>3601</v>
      </c>
      <c r="E14" s="28">
        <v>1897</v>
      </c>
      <c r="F14" s="28">
        <v>0</v>
      </c>
      <c r="G14" s="28">
        <v>0</v>
      </c>
      <c r="H14" s="29">
        <f t="shared" si="0"/>
        <v>2.0056490384615384</v>
      </c>
      <c r="J14" s="36">
        <v>926</v>
      </c>
      <c r="K14" s="37">
        <f t="shared" si="1"/>
        <v>1.1129807692307692</v>
      </c>
      <c r="L14" s="37">
        <f t="shared" si="2"/>
        <v>0.5549229939473842</v>
      </c>
      <c r="M14" s="36">
        <f t="shared" si="3"/>
        <v>3881.1924693389469</v>
      </c>
    </row>
    <row r="15" spans="1:13" s="7" customFormat="1" x14ac:dyDescent="0.25">
      <c r="A15" s="25">
        <v>5</v>
      </c>
      <c r="B15" s="26" t="s">
        <v>15</v>
      </c>
      <c r="C15" s="27">
        <v>420</v>
      </c>
      <c r="D15" s="28">
        <v>3671</v>
      </c>
      <c r="E15" s="28">
        <v>1888</v>
      </c>
      <c r="F15" s="28">
        <v>0</v>
      </c>
      <c r="G15" s="28">
        <v>42</v>
      </c>
      <c r="H15" s="29">
        <f t="shared" si="0"/>
        <v>4.0107142857142861</v>
      </c>
      <c r="J15" s="36">
        <v>323</v>
      </c>
      <c r="K15" s="37">
        <f t="shared" si="1"/>
        <v>0.76904761904761909</v>
      </c>
      <c r="L15" s="37">
        <f t="shared" si="2"/>
        <v>0.19174829326209558</v>
      </c>
      <c r="M15" s="36">
        <f t="shared" si="3"/>
        <v>5331.0319853408955</v>
      </c>
    </row>
    <row r="16" spans="1:13" s="7" customFormat="1" x14ac:dyDescent="0.25">
      <c r="A16" s="25">
        <v>6</v>
      </c>
      <c r="B16" s="26" t="s">
        <v>16</v>
      </c>
      <c r="C16" s="27">
        <v>689</v>
      </c>
      <c r="D16" s="28">
        <v>3849</v>
      </c>
      <c r="E16" s="28">
        <v>1711</v>
      </c>
      <c r="F16" s="28">
        <v>100</v>
      </c>
      <c r="G16" s="28">
        <v>19</v>
      </c>
      <c r="H16" s="29">
        <f t="shared" si="0"/>
        <v>2.3848330914368652</v>
      </c>
      <c r="J16" s="36">
        <v>652.06136706948632</v>
      </c>
      <c r="K16" s="37">
        <f t="shared" si="1"/>
        <v>0.94638805089910927</v>
      </c>
      <c r="L16" s="37">
        <f t="shared" si="2"/>
        <v>0.39683617872348004</v>
      </c>
      <c r="M16" s="36">
        <f t="shared" si="3"/>
        <v>4421.7732377061038</v>
      </c>
    </row>
    <row r="17" spans="1:13" s="7" customFormat="1" x14ac:dyDescent="0.25">
      <c r="A17" s="25">
        <v>7</v>
      </c>
      <c r="B17" s="26" t="s">
        <v>17</v>
      </c>
      <c r="C17" s="27">
        <v>1066</v>
      </c>
      <c r="D17" s="28">
        <v>4195</v>
      </c>
      <c r="E17" s="28">
        <v>2464</v>
      </c>
      <c r="F17" s="28">
        <v>205</v>
      </c>
      <c r="G17" s="28">
        <v>64</v>
      </c>
      <c r="H17" s="29">
        <f t="shared" si="0"/>
        <v>1.9806285178236398</v>
      </c>
      <c r="J17" s="36">
        <v>954</v>
      </c>
      <c r="K17" s="37">
        <f t="shared" si="1"/>
        <v>0.89493433395872424</v>
      </c>
      <c r="L17" s="37">
        <f t="shared" si="2"/>
        <v>0.45184360717076755</v>
      </c>
      <c r="M17" s="36">
        <f t="shared" si="3"/>
        <v>5413.4499571397409</v>
      </c>
    </row>
    <row r="18" spans="1:13" s="7" customFormat="1" x14ac:dyDescent="0.25">
      <c r="A18" s="25">
        <v>8</v>
      </c>
      <c r="B18" s="26" t="s">
        <v>18</v>
      </c>
      <c r="C18" s="27">
        <v>497</v>
      </c>
      <c r="D18" s="28">
        <v>3640</v>
      </c>
      <c r="E18" s="28">
        <v>1550</v>
      </c>
      <c r="F18" s="28">
        <v>69</v>
      </c>
      <c r="G18" s="28">
        <v>38</v>
      </c>
      <c r="H18" s="29">
        <f t="shared" si="0"/>
        <v>3.0564386317907442</v>
      </c>
      <c r="J18" s="36">
        <v>299.02769366983864</v>
      </c>
      <c r="K18" s="37">
        <f t="shared" si="1"/>
        <v>0.60166537961738153</v>
      </c>
      <c r="L18" s="37">
        <f t="shared" si="2"/>
        <v>0.19685177819679317</v>
      </c>
      <c r="M18" s="36">
        <f t="shared" si="3"/>
        <v>4789.5160766825084</v>
      </c>
    </row>
    <row r="19" spans="1:13" s="7" customFormat="1" x14ac:dyDescent="0.25">
      <c r="A19" s="25">
        <v>9</v>
      </c>
      <c r="B19" s="26" t="s">
        <v>19</v>
      </c>
      <c r="C19" s="27">
        <v>3372</v>
      </c>
      <c r="D19" s="28">
        <v>7729</v>
      </c>
      <c r="E19" s="28">
        <v>4359</v>
      </c>
      <c r="F19" s="28">
        <v>575</v>
      </c>
      <c r="G19" s="28">
        <v>0</v>
      </c>
      <c r="H19" s="29">
        <f t="shared" si="0"/>
        <v>1.1303529062870701</v>
      </c>
      <c r="J19" s="36">
        <v>3109.3410447761194</v>
      </c>
      <c r="K19" s="37">
        <f t="shared" si="1"/>
        <v>0.92210588516492276</v>
      </c>
      <c r="L19" s="37">
        <f t="shared" si="2"/>
        <v>0.81576813757555833</v>
      </c>
      <c r="M19" s="36">
        <f t="shared" si="3"/>
        <v>6568.6928342159163</v>
      </c>
    </row>
    <row r="20" spans="1:13" s="7" customFormat="1" x14ac:dyDescent="0.25">
      <c r="A20" s="25">
        <v>10</v>
      </c>
      <c r="B20" s="26" t="s">
        <v>20</v>
      </c>
      <c r="C20" s="27">
        <v>1063</v>
      </c>
      <c r="D20" s="28">
        <v>5002</v>
      </c>
      <c r="E20" s="28">
        <v>2087</v>
      </c>
      <c r="F20" s="28">
        <v>84</v>
      </c>
      <c r="G20" s="28">
        <v>109</v>
      </c>
      <c r="H20" s="29">
        <f t="shared" si="0"/>
        <v>1.95</v>
      </c>
      <c r="I20" s="30"/>
      <c r="J20" s="36">
        <v>444.07</v>
      </c>
      <c r="K20" s="37">
        <f t="shared" si="1"/>
        <v>0.41775164628410161</v>
      </c>
      <c r="L20" s="37">
        <f t="shared" si="2"/>
        <v>0.21423161347902647</v>
      </c>
      <c r="M20" s="36">
        <f t="shared" si="3"/>
        <v>6452.4156625189571</v>
      </c>
    </row>
    <row r="21" spans="1:13" s="7" customFormat="1" x14ac:dyDescent="0.25">
      <c r="A21" s="25">
        <v>11</v>
      </c>
      <c r="B21" s="26" t="s">
        <v>21</v>
      </c>
      <c r="C21" s="27">
        <v>416</v>
      </c>
      <c r="D21" s="28">
        <v>2462</v>
      </c>
      <c r="E21" s="28">
        <v>2603</v>
      </c>
      <c r="F21" s="28">
        <v>55</v>
      </c>
      <c r="G21" s="28">
        <v>0</v>
      </c>
      <c r="H21" s="29">
        <f t="shared" si="0"/>
        <v>4.3320913461538462</v>
      </c>
      <c r="I21" s="30"/>
      <c r="J21" s="36">
        <v>202</v>
      </c>
      <c r="K21" s="37">
        <f t="shared" si="1"/>
        <v>0.48557692307692307</v>
      </c>
      <c r="L21" s="37">
        <f t="shared" si="2"/>
        <v>0.11208833892850206</v>
      </c>
      <c r="M21" s="36">
        <f t="shared" si="3"/>
        <v>6034.9654769201934</v>
      </c>
    </row>
    <row r="22" spans="1:13" s="7" customFormat="1" x14ac:dyDescent="0.25">
      <c r="A22" s="25">
        <v>12</v>
      </c>
      <c r="B22" s="26" t="s">
        <v>22</v>
      </c>
      <c r="C22" s="27">
        <v>1001</v>
      </c>
      <c r="D22" s="28">
        <v>4618</v>
      </c>
      <c r="E22" s="28">
        <v>2364</v>
      </c>
      <c r="F22" s="28">
        <v>0</v>
      </c>
      <c r="G22" s="28">
        <v>380</v>
      </c>
      <c r="H22" s="29">
        <f t="shared" si="0"/>
        <v>2.1604395604395603</v>
      </c>
      <c r="I22" s="30"/>
      <c r="J22" s="36">
        <v>534.90278787878788</v>
      </c>
      <c r="K22" s="37">
        <f t="shared" si="1"/>
        <v>0.53436841945932856</v>
      </c>
      <c r="L22" s="37">
        <f t="shared" si="2"/>
        <v>0.24734245254729859</v>
      </c>
      <c r="M22" s="36">
        <f t="shared" si="3"/>
        <v>6566.393720087317</v>
      </c>
    </row>
    <row r="23" spans="1:13" s="7" customFormat="1" x14ac:dyDescent="0.25">
      <c r="A23" s="25">
        <v>13</v>
      </c>
      <c r="B23" s="26" t="s">
        <v>23</v>
      </c>
      <c r="C23" s="27">
        <v>4395</v>
      </c>
      <c r="D23" s="28">
        <v>8336</v>
      </c>
      <c r="E23" s="28">
        <v>4984</v>
      </c>
      <c r="F23" s="28">
        <v>1342</v>
      </c>
      <c r="G23" s="28">
        <v>0</v>
      </c>
      <c r="H23" s="29">
        <f t="shared" si="0"/>
        <v>0.99215017064846411</v>
      </c>
      <c r="I23" s="30"/>
      <c r="J23" s="36">
        <v>11075.307008884502</v>
      </c>
      <c r="K23" s="37">
        <f t="shared" si="1"/>
        <v>2.519978841611946</v>
      </c>
      <c r="L23" s="37">
        <f t="shared" si="2"/>
        <v>2.5399167547034751</v>
      </c>
      <c r="M23" s="36">
        <f t="shared" si="3"/>
        <v>0</v>
      </c>
    </row>
    <row r="24" spans="1:13" s="7" customFormat="1" x14ac:dyDescent="0.25">
      <c r="A24" s="25">
        <v>14</v>
      </c>
      <c r="B24" s="26" t="s">
        <v>24</v>
      </c>
      <c r="C24" s="27">
        <v>454</v>
      </c>
      <c r="D24" s="28">
        <v>4145</v>
      </c>
      <c r="E24" s="28">
        <v>1901</v>
      </c>
      <c r="F24" s="28">
        <v>0</v>
      </c>
      <c r="G24" s="28">
        <v>0</v>
      </c>
      <c r="H24" s="29">
        <f t="shared" si="0"/>
        <v>3.9196035242290748</v>
      </c>
      <c r="I24" s="30"/>
      <c r="J24" s="36">
        <v>135</v>
      </c>
      <c r="K24" s="37">
        <f t="shared" si="1"/>
        <v>0.29735682819383258</v>
      </c>
      <c r="L24" s="37">
        <f t="shared" si="2"/>
        <v>7.5864006743467258E-2</v>
      </c>
      <c r="M24" s="36">
        <f t="shared" si="3"/>
        <v>6108.0116701371762</v>
      </c>
    </row>
    <row r="25" spans="1:13" s="7" customFormat="1" x14ac:dyDescent="0.25">
      <c r="A25" s="25">
        <v>15</v>
      </c>
      <c r="B25" s="26" t="s">
        <v>25</v>
      </c>
      <c r="C25" s="27">
        <v>878</v>
      </c>
      <c r="D25" s="28">
        <v>4072</v>
      </c>
      <c r="E25" s="28">
        <v>1299</v>
      </c>
      <c r="F25" s="28">
        <v>271</v>
      </c>
      <c r="G25" s="28">
        <v>359</v>
      </c>
      <c r="H25" s="29">
        <f t="shared" si="0"/>
        <v>1.7749430523917997</v>
      </c>
      <c r="I25" s="30"/>
      <c r="J25" s="36">
        <v>1268.2272727272727</v>
      </c>
      <c r="K25" s="37">
        <f t="shared" si="1"/>
        <v>1.4444501967281012</v>
      </c>
      <c r="L25" s="37">
        <f t="shared" si="2"/>
        <v>0.81380086802314722</v>
      </c>
      <c r="M25" s="36">
        <f t="shared" si="3"/>
        <v>2692.7739277717606</v>
      </c>
    </row>
    <row r="26" spans="1:13" s="7" customFormat="1" x14ac:dyDescent="0.25">
      <c r="A26" s="25">
        <v>16</v>
      </c>
      <c r="B26" s="26" t="s">
        <v>26</v>
      </c>
      <c r="C26" s="27">
        <v>552</v>
      </c>
      <c r="D26" s="28">
        <v>3729</v>
      </c>
      <c r="E26" s="28">
        <v>1894</v>
      </c>
      <c r="F26" s="28">
        <v>19</v>
      </c>
      <c r="G26" s="28">
        <v>228</v>
      </c>
      <c r="H26" s="29">
        <f t="shared" si="0"/>
        <v>3.1337862318840584</v>
      </c>
      <c r="I26" s="30"/>
      <c r="J26" s="36">
        <v>505</v>
      </c>
      <c r="K26" s="37">
        <f t="shared" si="1"/>
        <v>0.91485507246376807</v>
      </c>
      <c r="L26" s="37">
        <f t="shared" si="2"/>
        <v>0.29193282654565422</v>
      </c>
      <c r="M26" s="36">
        <f t="shared" si="3"/>
        <v>5074.2472739340274</v>
      </c>
    </row>
    <row r="27" spans="1:13" s="7" customFormat="1" x14ac:dyDescent="0.25">
      <c r="A27" s="25">
        <v>17</v>
      </c>
      <c r="B27" s="26" t="s">
        <v>27</v>
      </c>
      <c r="C27" s="27">
        <v>415</v>
      </c>
      <c r="D27" s="28">
        <v>3412</v>
      </c>
      <c r="E27" s="28">
        <v>1295</v>
      </c>
      <c r="F27" s="28">
        <v>38</v>
      </c>
      <c r="G27" s="28">
        <v>0</v>
      </c>
      <c r="H27" s="29">
        <f t="shared" si="0"/>
        <v>3.2183132530120484</v>
      </c>
      <c r="I27" s="30"/>
      <c r="J27" s="36">
        <v>169.21428571428572</v>
      </c>
      <c r="K27" s="37">
        <f t="shared" si="1"/>
        <v>0.40774526678141138</v>
      </c>
      <c r="L27" s="37">
        <f t="shared" si="2"/>
        <v>0.12669533222093868</v>
      </c>
      <c r="M27" s="36">
        <f t="shared" si="3"/>
        <v>4427.5390512278327</v>
      </c>
    </row>
    <row r="28" spans="1:13" s="7" customFormat="1" x14ac:dyDescent="0.25">
      <c r="A28" s="25">
        <v>18</v>
      </c>
      <c r="B28" s="26" t="s">
        <v>28</v>
      </c>
      <c r="C28" s="27">
        <v>961</v>
      </c>
      <c r="D28" s="28">
        <v>4253</v>
      </c>
      <c r="E28" s="28">
        <v>2018</v>
      </c>
      <c r="F28" s="28">
        <v>88</v>
      </c>
      <c r="G28" s="28">
        <v>0</v>
      </c>
      <c r="H28" s="29">
        <f t="shared" si="0"/>
        <v>1.9488033298647243</v>
      </c>
      <c r="I28" s="30"/>
      <c r="J28" s="36">
        <v>246.90799999999999</v>
      </c>
      <c r="K28" s="37">
        <f t="shared" si="1"/>
        <v>0.25692819979188342</v>
      </c>
      <c r="L28" s="37">
        <f t="shared" si="2"/>
        <v>0.13183895771038015</v>
      </c>
      <c r="M28" s="36">
        <f t="shared" si="3"/>
        <v>6186.1164026003553</v>
      </c>
    </row>
    <row r="29" spans="1:13" s="7" customFormat="1" x14ac:dyDescent="0.25">
      <c r="A29" s="25">
        <v>19</v>
      </c>
      <c r="B29" s="26" t="s">
        <v>29</v>
      </c>
      <c r="C29" s="27">
        <v>1326</v>
      </c>
      <c r="D29" s="28">
        <v>7092</v>
      </c>
      <c r="E29" s="28">
        <v>2393</v>
      </c>
      <c r="F29" s="28">
        <v>739</v>
      </c>
      <c r="G29" s="28">
        <v>0</v>
      </c>
      <c r="H29" s="29">
        <f t="shared" si="0"/>
        <v>2.0556184012066363</v>
      </c>
      <c r="I29" s="30"/>
      <c r="J29" s="36">
        <v>8013</v>
      </c>
      <c r="K29" s="37">
        <f t="shared" si="1"/>
        <v>6.0429864253393664</v>
      </c>
      <c r="L29" s="37">
        <f t="shared" si="2"/>
        <v>2.9397413555902046</v>
      </c>
      <c r="M29" s="36">
        <f t="shared" si="3"/>
        <v>0</v>
      </c>
    </row>
    <row r="30" spans="1:13" s="7" customFormat="1" x14ac:dyDescent="0.25">
      <c r="A30" s="25">
        <v>20</v>
      </c>
      <c r="B30" s="26" t="s">
        <v>30</v>
      </c>
      <c r="C30" s="27">
        <v>33043</v>
      </c>
      <c r="D30" s="28">
        <v>61289</v>
      </c>
      <c r="E30" s="28">
        <v>23307</v>
      </c>
      <c r="F30" s="28">
        <v>14059</v>
      </c>
      <c r="G30" s="28">
        <v>1210</v>
      </c>
      <c r="H30" s="29">
        <f t="shared" si="0"/>
        <v>0.79295614804951131</v>
      </c>
      <c r="I30" s="30"/>
      <c r="J30" s="36">
        <v>111416.465</v>
      </c>
      <c r="K30" s="37">
        <f t="shared" si="1"/>
        <v>3.3718628756468845</v>
      </c>
      <c r="L30" s="37">
        <f t="shared" si="2"/>
        <v>4.2522690364919766</v>
      </c>
      <c r="M30" s="36">
        <f t="shared" si="3"/>
        <v>0</v>
      </c>
    </row>
    <row r="31" spans="1:13" s="7" customFormat="1" x14ac:dyDescent="0.25">
      <c r="A31" s="25">
        <v>21</v>
      </c>
      <c r="B31" s="26" t="s">
        <v>31</v>
      </c>
      <c r="C31" s="27">
        <v>328</v>
      </c>
      <c r="D31" s="28">
        <v>2784</v>
      </c>
      <c r="E31" s="28">
        <v>882</v>
      </c>
      <c r="F31" s="28">
        <v>89</v>
      </c>
      <c r="G31" s="28">
        <v>0</v>
      </c>
      <c r="H31" s="29">
        <f t="shared" si="0"/>
        <v>3.0827743902439027</v>
      </c>
      <c r="I31" s="30"/>
      <c r="J31" s="36">
        <v>238.8235294117647</v>
      </c>
      <c r="K31" s="37">
        <f t="shared" si="1"/>
        <v>0.72812051649928256</v>
      </c>
      <c r="L31" s="37">
        <f t="shared" si="2"/>
        <v>0.23619001079144011</v>
      </c>
      <c r="M31" s="36">
        <f t="shared" si="3"/>
        <v>3096.245127422053</v>
      </c>
    </row>
    <row r="32" spans="1:13" s="7" customFormat="1" x14ac:dyDescent="0.25">
      <c r="A32" s="25">
        <v>22</v>
      </c>
      <c r="B32" s="26" t="s">
        <v>32</v>
      </c>
      <c r="C32" s="27">
        <v>1611</v>
      </c>
      <c r="D32" s="28">
        <v>6443</v>
      </c>
      <c r="E32" s="28">
        <v>1575</v>
      </c>
      <c r="F32" s="28">
        <v>302</v>
      </c>
      <c r="G32" s="28">
        <v>13</v>
      </c>
      <c r="H32" s="29">
        <f t="shared" si="0"/>
        <v>1.3180322780881442</v>
      </c>
      <c r="I32" s="30"/>
      <c r="J32" s="36">
        <v>2356</v>
      </c>
      <c r="K32" s="37">
        <f t="shared" si="1"/>
        <v>1.4624456859093731</v>
      </c>
      <c r="L32" s="37">
        <f t="shared" si="2"/>
        <v>1.1095674288270891</v>
      </c>
      <c r="M32" s="36">
        <f t="shared" si="3"/>
        <v>2218.3349254635336</v>
      </c>
    </row>
    <row r="33" spans="1:13" s="7" customFormat="1" x14ac:dyDescent="0.25">
      <c r="A33" s="25">
        <v>23</v>
      </c>
      <c r="B33" s="26" t="s">
        <v>33</v>
      </c>
      <c r="C33" s="27">
        <v>426</v>
      </c>
      <c r="D33" s="28">
        <v>3086</v>
      </c>
      <c r="E33" s="28">
        <v>976</v>
      </c>
      <c r="F33" s="28">
        <v>75</v>
      </c>
      <c r="G33" s="28">
        <v>38</v>
      </c>
      <c r="H33" s="29">
        <f t="shared" si="0"/>
        <v>2.6341549295774649</v>
      </c>
      <c r="I33" s="30"/>
      <c r="J33" s="36">
        <v>1010.2516917237917</v>
      </c>
      <c r="K33" s="37">
        <f t="shared" si="1"/>
        <v>2.3714828444220464</v>
      </c>
      <c r="L33" s="37">
        <f t="shared" si="2"/>
        <v>0.90028221870854319</v>
      </c>
      <c r="M33" s="36">
        <f t="shared" si="3"/>
        <v>1714.8141568636761</v>
      </c>
    </row>
    <row r="34" spans="1:13" s="7" customFormat="1" x14ac:dyDescent="0.25">
      <c r="A34" s="25">
        <v>24</v>
      </c>
      <c r="B34" s="26" t="s">
        <v>34</v>
      </c>
      <c r="C34" s="27">
        <v>349</v>
      </c>
      <c r="D34" s="28">
        <v>3371</v>
      </c>
      <c r="E34" s="28">
        <v>1929</v>
      </c>
      <c r="F34" s="28">
        <v>62</v>
      </c>
      <c r="G34" s="28">
        <v>30</v>
      </c>
      <c r="H34" s="29">
        <f t="shared" si="0"/>
        <v>4.7349570200573066</v>
      </c>
      <c r="I34" s="30"/>
      <c r="J34" s="36">
        <v>260.90566037735852</v>
      </c>
      <c r="K34" s="37">
        <f t="shared" si="1"/>
        <v>0.74758068876033956</v>
      </c>
      <c r="L34" s="37">
        <f t="shared" si="2"/>
        <v>0.15788542231610198</v>
      </c>
      <c r="M34" s="36">
        <f t="shared" si="3"/>
        <v>5359.0151737589704</v>
      </c>
    </row>
    <row r="35" spans="1:13" s="7" customFormat="1" x14ac:dyDescent="0.25">
      <c r="A35" s="25">
        <v>25</v>
      </c>
      <c r="B35" s="26" t="s">
        <v>35</v>
      </c>
      <c r="C35" s="27">
        <v>637</v>
      </c>
      <c r="D35" s="28">
        <v>4316</v>
      </c>
      <c r="E35" s="28">
        <v>1893</v>
      </c>
      <c r="F35" s="28">
        <v>38</v>
      </c>
      <c r="G35" s="28">
        <v>0</v>
      </c>
      <c r="H35" s="29">
        <f t="shared" si="0"/>
        <v>2.8499215070643644</v>
      </c>
      <c r="I35" s="30"/>
      <c r="J35" s="36">
        <v>312.71010543961199</v>
      </c>
      <c r="K35" s="37">
        <f t="shared" si="1"/>
        <v>0.49091068357866874</v>
      </c>
      <c r="L35" s="37">
        <f t="shared" si="2"/>
        <v>0.17225410677515257</v>
      </c>
      <c r="M35" s="36">
        <f t="shared" si="3"/>
        <v>5827.0435223564591</v>
      </c>
    </row>
    <row r="36" spans="1:13" s="7" customFormat="1" x14ac:dyDescent="0.25">
      <c r="A36" s="25">
        <v>26</v>
      </c>
      <c r="B36" s="26" t="s">
        <v>36</v>
      </c>
      <c r="C36" s="27">
        <v>1416</v>
      </c>
      <c r="D36" s="28">
        <v>5508</v>
      </c>
      <c r="E36" s="28">
        <v>1748</v>
      </c>
      <c r="F36" s="28">
        <v>197</v>
      </c>
      <c r="G36" s="28">
        <v>0</v>
      </c>
      <c r="H36" s="29">
        <f t="shared" si="0"/>
        <v>1.416066384180791</v>
      </c>
      <c r="I36" s="30"/>
      <c r="J36" s="36">
        <v>911.66699999999992</v>
      </c>
      <c r="K36" s="37">
        <f t="shared" si="1"/>
        <v>0.64383262711864397</v>
      </c>
      <c r="L36" s="37">
        <f t="shared" si="2"/>
        <v>0.45466274343565311</v>
      </c>
      <c r="M36" s="36">
        <f t="shared" si="3"/>
        <v>5128.0986560178608</v>
      </c>
    </row>
    <row r="37" spans="1:13" s="7" customFormat="1" x14ac:dyDescent="0.25">
      <c r="A37" s="25">
        <v>27</v>
      </c>
      <c r="B37" s="26" t="s">
        <v>37</v>
      </c>
      <c r="C37" s="27">
        <v>1786</v>
      </c>
      <c r="D37" s="28">
        <v>6084</v>
      </c>
      <c r="E37" s="28">
        <v>5321</v>
      </c>
      <c r="F37" s="28">
        <v>198</v>
      </c>
      <c r="G37" s="28">
        <v>72</v>
      </c>
      <c r="H37" s="29">
        <f t="shared" si="0"/>
        <v>2.1936170212765957</v>
      </c>
      <c r="I37" s="30"/>
      <c r="J37" s="36">
        <v>1909.0676478468499</v>
      </c>
      <c r="K37" s="37">
        <f t="shared" si="1"/>
        <v>1.0689068576970044</v>
      </c>
      <c r="L37" s="37">
        <f t="shared" si="2"/>
        <v>0.48728052678718919</v>
      </c>
      <c r="M37" s="36">
        <f t="shared" si="3"/>
        <v>9724.4565296210822</v>
      </c>
    </row>
    <row r="38" spans="1:13" s="7" customFormat="1" x14ac:dyDescent="0.25">
      <c r="A38" s="25">
        <v>28</v>
      </c>
      <c r="B38" s="26" t="s">
        <v>38</v>
      </c>
      <c r="C38" s="27">
        <v>5180</v>
      </c>
      <c r="D38" s="28">
        <v>9839</v>
      </c>
      <c r="E38" s="28">
        <v>2758</v>
      </c>
      <c r="F38" s="28">
        <v>2685</v>
      </c>
      <c r="G38" s="28">
        <v>36</v>
      </c>
      <c r="H38" s="29">
        <f t="shared" si="0"/>
        <v>0.7248938223938225</v>
      </c>
      <c r="I38" s="30"/>
      <c r="J38" s="36">
        <v>4605.6819999999998</v>
      </c>
      <c r="K38" s="37">
        <f t="shared" si="1"/>
        <v>0.88912779922779916</v>
      </c>
      <c r="L38" s="37">
        <f t="shared" si="2"/>
        <v>1.2265628037656957</v>
      </c>
      <c r="M38" s="36">
        <f t="shared" si="3"/>
        <v>2908.178658518736</v>
      </c>
    </row>
  </sheetData>
  <sheetProtection autoFilter="0"/>
  <mergeCells count="4">
    <mergeCell ref="A1:H1"/>
    <mergeCell ref="A2:H2"/>
    <mergeCell ref="A3:H3"/>
    <mergeCell ref="C5:H5"/>
  </mergeCells>
  <phoneticPr fontId="83" type="noConversion"/>
  <conditionalFormatting sqref="L11:L38">
    <cfRule type="cellIs" dxfId="4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Normal="100" workbookViewId="0">
      <pane xSplit="2" ySplit="9" topLeftCell="F10" activePane="bottomRight" state="frozen"/>
      <selection activeCell="A15" sqref="A15:IV15"/>
      <selection pane="topRight" activeCell="A15" sqref="A15:IV15"/>
      <selection pane="bottomLeft" activeCell="A15" sqref="A15:IV15"/>
      <selection pane="bottomRight" activeCell="T17" sqref="T17"/>
    </sheetView>
  </sheetViews>
  <sheetFormatPr defaultRowHeight="15.75" x14ac:dyDescent="0.25"/>
  <cols>
    <col min="1" max="1" width="6" style="8" bestFit="1" customWidth="1"/>
    <col min="2" max="2" width="43" style="8" customWidth="1"/>
    <col min="3" max="3" width="15.7109375" style="1" customWidth="1"/>
    <col min="4" max="7" width="13.7109375" style="1" customWidth="1"/>
    <col min="8" max="15" width="9.7109375" style="1" customWidth="1"/>
    <col min="16" max="16" width="13.28515625" style="9" customWidth="1"/>
    <col min="17" max="18" width="17.28515625" style="1" customWidth="1"/>
    <col min="19" max="22" width="12.140625" style="31" customWidth="1"/>
    <col min="23" max="16384" width="9.140625" style="1"/>
  </cols>
  <sheetData>
    <row r="1" spans="1:23" ht="25.5" x14ac:dyDescent="0.35">
      <c r="A1" s="207" t="s">
        <v>90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23" ht="30.75" x14ac:dyDescent="0.5">
      <c r="A2" s="207" t="s">
        <v>44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23" ht="20.25" x14ac:dyDescent="0.3">
      <c r="A3" s="208" t="s">
        <v>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23" s="11" customFormat="1" ht="19.5" thickBot="1" x14ac:dyDescent="0.35">
      <c r="A4" s="197" t="s">
        <v>43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S4" s="32"/>
      <c r="T4" s="32"/>
      <c r="U4" s="32"/>
      <c r="V4" s="32"/>
    </row>
    <row r="5" spans="1:23" s="11" customFormat="1" ht="27" x14ac:dyDescent="0.45">
      <c r="A5" s="10"/>
      <c r="B5" s="10"/>
      <c r="C5" s="10"/>
      <c r="D5" s="12" t="s">
        <v>6</v>
      </c>
      <c r="E5" s="12" t="s">
        <v>7</v>
      </c>
      <c r="F5" s="12" t="s">
        <v>8</v>
      </c>
      <c r="G5" s="12" t="s">
        <v>10</v>
      </c>
      <c r="H5" s="10"/>
      <c r="I5" s="10"/>
      <c r="J5" s="10"/>
      <c r="K5" s="10"/>
      <c r="L5" s="10"/>
      <c r="M5" s="10"/>
      <c r="N5" s="10"/>
      <c r="O5" s="10"/>
      <c r="P5" s="55"/>
      <c r="Q5" s="10"/>
      <c r="R5" s="10"/>
      <c r="S5" s="33"/>
      <c r="T5" s="33"/>
      <c r="U5" s="33"/>
      <c r="V5" s="33"/>
      <c r="W5" s="10"/>
    </row>
    <row r="6" spans="1:23" s="11" customFormat="1" ht="19.5" thickBot="1" x14ac:dyDescent="0.35">
      <c r="A6" s="10"/>
      <c r="B6" s="10"/>
      <c r="C6" s="10"/>
      <c r="D6" s="57">
        <v>0.3</v>
      </c>
      <c r="E6" s="57">
        <v>0.4</v>
      </c>
      <c r="F6" s="57">
        <v>0.2</v>
      </c>
      <c r="G6" s="17">
        <f>1-D6-E6-F6</f>
        <v>9.9999999999999922E-2</v>
      </c>
      <c r="H6" s="10"/>
      <c r="I6" s="10"/>
      <c r="J6" s="10"/>
      <c r="K6" s="10"/>
      <c r="L6" s="10"/>
      <c r="M6" s="10"/>
      <c r="N6" s="10"/>
      <c r="O6" s="10"/>
      <c r="P6" s="55"/>
      <c r="Q6" s="10"/>
      <c r="R6" s="10"/>
      <c r="S6" s="33"/>
      <c r="T6" s="33"/>
      <c r="U6" s="33"/>
      <c r="V6" s="33"/>
      <c r="W6" s="10"/>
    </row>
    <row r="7" spans="1:23" s="40" customFormat="1" ht="27.75" customHeight="1" x14ac:dyDescent="0.2">
      <c r="A7" s="189" t="s">
        <v>0</v>
      </c>
      <c r="B7" s="189" t="s">
        <v>5</v>
      </c>
      <c r="C7" s="189" t="s">
        <v>3</v>
      </c>
      <c r="D7" s="189" t="s">
        <v>85</v>
      </c>
      <c r="E7" s="189" t="s">
        <v>86</v>
      </c>
      <c r="F7" s="189" t="s">
        <v>88</v>
      </c>
      <c r="G7" s="189" t="s">
        <v>87</v>
      </c>
      <c r="H7" s="209" t="s">
        <v>79</v>
      </c>
      <c r="I7" s="209"/>
      <c r="J7" s="209"/>
      <c r="K7" s="209"/>
      <c r="L7" s="194" t="s">
        <v>84</v>
      </c>
      <c r="M7" s="195"/>
      <c r="N7" s="195"/>
      <c r="O7" s="196"/>
      <c r="P7" s="210" t="s">
        <v>89</v>
      </c>
      <c r="Q7" s="40" t="s">
        <v>89</v>
      </c>
      <c r="S7" s="34" t="s">
        <v>75</v>
      </c>
      <c r="T7" s="34" t="s">
        <v>76</v>
      </c>
      <c r="U7" s="34" t="s">
        <v>78</v>
      </c>
      <c r="V7" s="34" t="s">
        <v>77</v>
      </c>
    </row>
    <row r="8" spans="1:23" s="40" customFormat="1" ht="86.25" customHeight="1" x14ac:dyDescent="0.2">
      <c r="A8" s="190"/>
      <c r="B8" s="190"/>
      <c r="C8" s="190"/>
      <c r="D8" s="190"/>
      <c r="E8" s="190"/>
      <c r="F8" s="190"/>
      <c r="G8" s="190"/>
      <c r="H8" s="41" t="s">
        <v>80</v>
      </c>
      <c r="I8" s="41" t="s">
        <v>81</v>
      </c>
      <c r="J8" s="41" t="s">
        <v>82</v>
      </c>
      <c r="K8" s="41" t="s">
        <v>83</v>
      </c>
      <c r="L8" s="41" t="s">
        <v>80</v>
      </c>
      <c r="M8" s="41" t="s">
        <v>81</v>
      </c>
      <c r="N8" s="41" t="s">
        <v>82</v>
      </c>
      <c r="O8" s="41" t="s">
        <v>83</v>
      </c>
      <c r="P8" s="211"/>
      <c r="S8" s="34"/>
      <c r="T8" s="34"/>
      <c r="U8" s="34"/>
      <c r="V8" s="34"/>
    </row>
    <row r="9" spans="1:23" s="47" customFormat="1" ht="12.75" x14ac:dyDescent="0.2">
      <c r="A9" s="42">
        <f>COUNT(C10:C40)</f>
        <v>12</v>
      </c>
      <c r="B9" s="43" t="s">
        <v>1</v>
      </c>
      <c r="C9" s="44">
        <f>SUM(C10:C40)</f>
        <v>21354</v>
      </c>
      <c r="D9" s="44">
        <f>SUM(D10:D40)</f>
        <v>80321</v>
      </c>
      <c r="E9" s="44">
        <f>SUM(E10:E40)</f>
        <v>46284</v>
      </c>
      <c r="F9" s="44">
        <f>SUM(F10:F40)</f>
        <v>3820</v>
      </c>
      <c r="G9" s="44">
        <f>SUM(G10:G40)</f>
        <v>2318</v>
      </c>
      <c r="H9" s="56">
        <f>MAX(H10:H40)</f>
        <v>6.352864583333333</v>
      </c>
      <c r="I9" s="56">
        <f>MAX(I10:I40)</f>
        <v>4.5335999999999999</v>
      </c>
      <c r="J9" s="56">
        <f>MAX(J10:J40)</f>
        <v>0.38812175204157384</v>
      </c>
      <c r="K9" s="56">
        <f>MAX(K10:K40)</f>
        <v>0.39705882352941174</v>
      </c>
      <c r="L9" s="45"/>
      <c r="M9" s="45"/>
      <c r="N9" s="45"/>
      <c r="O9" s="45"/>
      <c r="P9" s="46"/>
      <c r="S9" s="35">
        <f>SUM(S10:S40)</f>
        <v>23736.69389300016</v>
      </c>
      <c r="T9" s="38">
        <f t="shared" ref="T9:T17" si="0">S9/C9</f>
        <v>1.1115806824482608</v>
      </c>
      <c r="U9" s="39">
        <v>1.7887127140441861</v>
      </c>
      <c r="V9" s="35" t="e">
        <f>SUM(V10:V40)</f>
        <v>#DIV/0!</v>
      </c>
      <c r="W9" s="48"/>
    </row>
    <row r="10" spans="1:23" s="52" customFormat="1" ht="12.75" x14ac:dyDescent="0.2">
      <c r="A10" s="49">
        <v>1</v>
      </c>
      <c r="B10" s="58" t="s">
        <v>45</v>
      </c>
      <c r="C10" s="59">
        <v>1890</v>
      </c>
      <c r="D10" s="59">
        <v>7306</v>
      </c>
      <c r="E10" s="59">
        <v>5086</v>
      </c>
      <c r="F10" s="59">
        <v>267</v>
      </c>
      <c r="G10" s="59">
        <v>0</v>
      </c>
      <c r="H10" s="53">
        <f t="shared" ref="H10:H26" si="1">IF($C10=0, ,D10/$C10)</f>
        <v>3.8656084656084655</v>
      </c>
      <c r="I10" s="53">
        <f t="shared" ref="I10:K25" si="2">IF($C10=0, ,E10/$C10)</f>
        <v>2.6910052910052911</v>
      </c>
      <c r="J10" s="53">
        <f t="shared" si="2"/>
        <v>0.14126984126984127</v>
      </c>
      <c r="K10" s="53">
        <f t="shared" si="2"/>
        <v>0</v>
      </c>
      <c r="L10" s="50">
        <f>H10/H$9*D$6</f>
        <v>0.18254482280717163</v>
      </c>
      <c r="M10" s="50">
        <f>I10/I$9*E$6</f>
        <v>0.23742767699005568</v>
      </c>
      <c r="N10" s="50">
        <f>J10/J$9*F$6</f>
        <v>7.279666265894269E-2</v>
      </c>
      <c r="O10" s="50">
        <f>K10/K$9*G$6</f>
        <v>0</v>
      </c>
      <c r="P10" s="54">
        <f>IF(C10=0,0,L10+M10+N10+O10)</f>
        <v>0.49276916245616997</v>
      </c>
      <c r="Q10" s="65">
        <v>1.5660352484604247</v>
      </c>
      <c r="R10" s="51"/>
      <c r="S10" s="36">
        <v>2414.719013071569</v>
      </c>
      <c r="T10" s="37">
        <f t="shared" si="0"/>
        <v>1.2776291074452746</v>
      </c>
      <c r="U10" s="37">
        <f t="shared" ref="U10:U17" si="3">T10/P10</f>
        <v>2.5927537776045697</v>
      </c>
      <c r="V10" s="36">
        <f t="shared" ref="V10:V40" si="4">IF($T$9*($U$9-U10)*P10*C10&lt;0,0,$T$9*($U$9-U10)*P10*C10)</f>
        <v>0</v>
      </c>
      <c r="W10" s="48"/>
    </row>
    <row r="11" spans="1:23" s="52" customFormat="1" ht="12.75" x14ac:dyDescent="0.2">
      <c r="A11" s="49">
        <v>2</v>
      </c>
      <c r="B11" s="58" t="s">
        <v>46</v>
      </c>
      <c r="C11" s="59">
        <v>1469</v>
      </c>
      <c r="D11" s="59">
        <v>6103</v>
      </c>
      <c r="E11" s="59">
        <v>4906</v>
      </c>
      <c r="F11" s="59">
        <v>121</v>
      </c>
      <c r="G11" s="59">
        <v>0</v>
      </c>
      <c r="H11" s="53">
        <f t="shared" si="1"/>
        <v>4.154526889040163</v>
      </c>
      <c r="I11" s="53">
        <f t="shared" si="2"/>
        <v>3.3396868618107556</v>
      </c>
      <c r="J11" s="53">
        <f t="shared" si="2"/>
        <v>8.2368958475153159E-2</v>
      </c>
      <c r="K11" s="53">
        <f t="shared" si="2"/>
        <v>0</v>
      </c>
      <c r="L11" s="50">
        <f>H11/H$9*D$6</f>
        <v>0.19618835729347275</v>
      </c>
      <c r="M11" s="50">
        <f t="shared" ref="M11:M40" si="5">I11/I$9*E$6</f>
        <v>0.29466091951744805</v>
      </c>
      <c r="N11" s="50">
        <f t="shared" ref="N11:N40" si="6">J11/J$9*F$6</f>
        <v>4.24449070642813E-2</v>
      </c>
      <c r="O11" s="50">
        <f t="shared" ref="O11:O40" si="7">K11/K$9*G$6</f>
        <v>0</v>
      </c>
      <c r="P11" s="54">
        <f t="shared" ref="P11:P40" si="8">IF(C11=0,0,L11+M11+N11+O11)</f>
        <v>0.53329418387520211</v>
      </c>
      <c r="Q11" s="65">
        <v>1.6028380250932692</v>
      </c>
      <c r="R11" s="51"/>
      <c r="S11" s="36">
        <v>1288.6809186882713</v>
      </c>
      <c r="T11" s="37">
        <f t="shared" si="0"/>
        <v>0.87725045519964007</v>
      </c>
      <c r="U11" s="37">
        <f t="shared" si="3"/>
        <v>1.6449653525659456</v>
      </c>
      <c r="V11" s="36">
        <f>IF($T$9*($U$9-U11)*P11*C11&lt;0,0,$T$9*($U$9-U11)*P11*C11)</f>
        <v>125.17843444669268</v>
      </c>
      <c r="W11" s="48"/>
    </row>
    <row r="12" spans="1:23" s="52" customFormat="1" ht="12.75" x14ac:dyDescent="0.2">
      <c r="A12" s="49">
        <v>3</v>
      </c>
      <c r="B12" s="58" t="s">
        <v>47</v>
      </c>
      <c r="C12" s="59">
        <v>768</v>
      </c>
      <c r="D12" s="59">
        <v>4879</v>
      </c>
      <c r="E12" s="59">
        <v>3324</v>
      </c>
      <c r="F12" s="59">
        <v>111</v>
      </c>
      <c r="G12" s="59">
        <v>0</v>
      </c>
      <c r="H12" s="53">
        <f t="shared" si="1"/>
        <v>6.352864583333333</v>
      </c>
      <c r="I12" s="53">
        <f t="shared" si="2"/>
        <v>4.328125</v>
      </c>
      <c r="J12" s="53">
        <f t="shared" si="2"/>
        <v>0.14453125</v>
      </c>
      <c r="K12" s="53">
        <f t="shared" si="2"/>
        <v>0</v>
      </c>
      <c r="L12" s="50">
        <f t="shared" ref="L12:L40" si="9">H12/H$9*D$6</f>
        <v>0.3</v>
      </c>
      <c r="M12" s="50">
        <f t="shared" si="5"/>
        <v>0.38187091935768486</v>
      </c>
      <c r="N12" s="50">
        <f t="shared" si="6"/>
        <v>7.4477273814078052E-2</v>
      </c>
      <c r="O12" s="50">
        <f t="shared" si="7"/>
        <v>0</v>
      </c>
      <c r="P12" s="54">
        <f t="shared" si="8"/>
        <v>0.75634819317176294</v>
      </c>
      <c r="Q12" s="65">
        <v>2.3270636674646026</v>
      </c>
      <c r="R12" s="51"/>
      <c r="S12" s="36">
        <v>286.80399999999997</v>
      </c>
      <c r="T12" s="37">
        <f t="shared" si="0"/>
        <v>0.37344270833333332</v>
      </c>
      <c r="U12" s="37">
        <f t="shared" si="3"/>
        <v>0.49374443107650329</v>
      </c>
      <c r="V12" s="36">
        <f t="shared" si="4"/>
        <v>836.14792466576023</v>
      </c>
      <c r="W12" s="48"/>
    </row>
    <row r="13" spans="1:23" s="52" customFormat="1" ht="12.75" x14ac:dyDescent="0.2">
      <c r="A13" s="49">
        <v>4</v>
      </c>
      <c r="B13" s="58" t="s">
        <v>48</v>
      </c>
      <c r="C13" s="59">
        <v>1355</v>
      </c>
      <c r="D13" s="59">
        <v>6055</v>
      </c>
      <c r="E13" s="59">
        <v>3309</v>
      </c>
      <c r="F13" s="59">
        <v>0</v>
      </c>
      <c r="G13" s="59">
        <v>0</v>
      </c>
      <c r="H13" s="53">
        <f t="shared" si="1"/>
        <v>4.4686346863468636</v>
      </c>
      <c r="I13" s="53">
        <f t="shared" si="2"/>
        <v>2.4420664206642066</v>
      </c>
      <c r="J13" s="53">
        <f t="shared" si="2"/>
        <v>0</v>
      </c>
      <c r="K13" s="53">
        <f t="shared" si="2"/>
        <v>0</v>
      </c>
      <c r="L13" s="50">
        <f t="shared" si="9"/>
        <v>0.21102140433169037</v>
      </c>
      <c r="M13" s="50">
        <f t="shared" si="5"/>
        <v>0.21546377454245694</v>
      </c>
      <c r="N13" s="50">
        <f t="shared" si="6"/>
        <v>0</v>
      </c>
      <c r="O13" s="50">
        <f t="shared" si="7"/>
        <v>0</v>
      </c>
      <c r="P13" s="54">
        <f t="shared" si="8"/>
        <v>0.42648517887414727</v>
      </c>
      <c r="Q13" s="65">
        <v>1.2420641174617768</v>
      </c>
      <c r="R13" s="51"/>
      <c r="S13" s="36">
        <v>908</v>
      </c>
      <c r="T13" s="37">
        <f t="shared" si="0"/>
        <v>0.6701107011070111</v>
      </c>
      <c r="U13" s="37">
        <f t="shared" si="3"/>
        <v>1.5712403016583045</v>
      </c>
      <c r="V13" s="36">
        <f t="shared" si="4"/>
        <v>139.69742511386625</v>
      </c>
      <c r="W13" s="48"/>
    </row>
    <row r="14" spans="1:23" s="52" customFormat="1" ht="12.75" x14ac:dyDescent="0.2">
      <c r="A14" s="49">
        <v>5</v>
      </c>
      <c r="B14" s="58" t="s">
        <v>49</v>
      </c>
      <c r="C14" s="59">
        <v>1250</v>
      </c>
      <c r="D14" s="59">
        <v>5601</v>
      </c>
      <c r="E14" s="59">
        <v>5667</v>
      </c>
      <c r="F14" s="59">
        <v>82</v>
      </c>
      <c r="G14" s="59">
        <v>0</v>
      </c>
      <c r="H14" s="53">
        <f t="shared" si="1"/>
        <v>4.4808000000000003</v>
      </c>
      <c r="I14" s="53">
        <f t="shared" si="2"/>
        <v>4.5335999999999999</v>
      </c>
      <c r="J14" s="53">
        <f t="shared" si="2"/>
        <v>6.5600000000000006E-2</v>
      </c>
      <c r="K14" s="53">
        <f t="shared" si="2"/>
        <v>0</v>
      </c>
      <c r="L14" s="50">
        <f t="shared" si="9"/>
        <v>0.21159588440254154</v>
      </c>
      <c r="M14" s="50">
        <f t="shared" si="5"/>
        <v>0.4</v>
      </c>
      <c r="N14" s="50">
        <f t="shared" si="6"/>
        <v>3.3803825554705437E-2</v>
      </c>
      <c r="O14" s="50">
        <f t="shared" si="7"/>
        <v>0</v>
      </c>
      <c r="P14" s="54">
        <f t="shared" si="8"/>
        <v>0.64539970995724694</v>
      </c>
      <c r="Q14" s="65">
        <v>1.8743387424486657</v>
      </c>
      <c r="R14" s="51"/>
      <c r="S14" s="36">
        <v>1336.854</v>
      </c>
      <c r="T14" s="37">
        <f t="shared" si="0"/>
        <v>1.0694832000000001</v>
      </c>
      <c r="U14" s="37">
        <f t="shared" si="3"/>
        <v>1.657086582934544</v>
      </c>
      <c r="V14" s="36">
        <f>IF($T$9*($U$9-U14)*P14*C14&lt;0,0,$T$9*($U$9-U14)*P14*C14)</f>
        <v>118.03801185756546</v>
      </c>
      <c r="W14" s="48"/>
    </row>
    <row r="15" spans="1:23" s="52" customFormat="1" ht="12.75" x14ac:dyDescent="0.2">
      <c r="A15" s="49">
        <v>6</v>
      </c>
      <c r="B15" s="58" t="s">
        <v>50</v>
      </c>
      <c r="C15" s="59">
        <v>1192</v>
      </c>
      <c r="D15" s="59">
        <v>6086</v>
      </c>
      <c r="E15" s="59">
        <v>2509</v>
      </c>
      <c r="F15" s="59">
        <v>5</v>
      </c>
      <c r="G15" s="59">
        <v>0</v>
      </c>
      <c r="H15" s="53">
        <f t="shared" si="1"/>
        <v>5.1057046979865772</v>
      </c>
      <c r="I15" s="53">
        <f t="shared" si="2"/>
        <v>2.1048657718120807</v>
      </c>
      <c r="J15" s="53">
        <f t="shared" si="2"/>
        <v>4.1946308724832215E-3</v>
      </c>
      <c r="K15" s="53">
        <f t="shared" si="2"/>
        <v>0</v>
      </c>
      <c r="L15" s="50">
        <f t="shared" si="9"/>
        <v>0.24110562869770596</v>
      </c>
      <c r="M15" s="50">
        <f t="shared" si="5"/>
        <v>0.1857125261877608</v>
      </c>
      <c r="N15" s="50">
        <f t="shared" si="6"/>
        <v>2.1615025957287298E-3</v>
      </c>
      <c r="O15" s="50">
        <f t="shared" si="7"/>
        <v>0</v>
      </c>
      <c r="P15" s="54">
        <f t="shared" si="8"/>
        <v>0.42897965748119549</v>
      </c>
      <c r="Q15" s="65">
        <v>1.2787742574403989</v>
      </c>
      <c r="R15" s="51"/>
      <c r="S15" s="36">
        <v>682.69100000000003</v>
      </c>
      <c r="T15" s="37">
        <f t="shared" si="0"/>
        <v>0.57272734899328859</v>
      </c>
      <c r="U15" s="37">
        <f t="shared" si="3"/>
        <v>1.3350920935415087</v>
      </c>
      <c r="V15" s="36">
        <f t="shared" si="4"/>
        <v>257.83788652669921</v>
      </c>
      <c r="W15" s="48"/>
    </row>
    <row r="16" spans="1:23" s="52" customFormat="1" ht="12.75" x14ac:dyDescent="0.2">
      <c r="A16" s="49">
        <v>7</v>
      </c>
      <c r="B16" s="58" t="s">
        <v>51</v>
      </c>
      <c r="C16" s="59">
        <v>1122</v>
      </c>
      <c r="D16" s="59">
        <v>5405</v>
      </c>
      <c r="E16" s="59">
        <v>4837</v>
      </c>
      <c r="F16" s="59">
        <v>30</v>
      </c>
      <c r="G16" s="59">
        <v>0</v>
      </c>
      <c r="H16" s="53">
        <f t="shared" si="1"/>
        <v>4.8172905525846703</v>
      </c>
      <c r="I16" s="53">
        <f t="shared" si="2"/>
        <v>4.311051693404635</v>
      </c>
      <c r="J16" s="53">
        <f t="shared" si="2"/>
        <v>2.6737967914438502E-2</v>
      </c>
      <c r="K16" s="53">
        <f t="shared" si="2"/>
        <v>0</v>
      </c>
      <c r="L16" s="50">
        <f t="shared" si="9"/>
        <v>0.22748590762769175</v>
      </c>
      <c r="M16" s="50">
        <f t="shared" si="5"/>
        <v>0.38036453973924789</v>
      </c>
      <c r="N16" s="50">
        <f t="shared" si="6"/>
        <v>1.3778134193094364E-2</v>
      </c>
      <c r="O16" s="50">
        <f t="shared" si="7"/>
        <v>0</v>
      </c>
      <c r="P16" s="54">
        <f t="shared" si="8"/>
        <v>0.62162858156003398</v>
      </c>
      <c r="Q16" s="65">
        <v>1.7780883790725639</v>
      </c>
      <c r="R16" s="51"/>
      <c r="S16" s="36">
        <v>672.75779844961244</v>
      </c>
      <c r="T16" s="37">
        <f t="shared" si="0"/>
        <v>0.5996058809711341</v>
      </c>
      <c r="U16" s="37">
        <f t="shared" si="3"/>
        <v>0.96457257397394458</v>
      </c>
      <c r="V16" s="36">
        <f t="shared" si="4"/>
        <v>638.94855062358204</v>
      </c>
      <c r="W16" s="48"/>
    </row>
    <row r="17" spans="1:23" s="52" customFormat="1" ht="12.75" x14ac:dyDescent="0.2">
      <c r="A17" s="49">
        <v>8</v>
      </c>
      <c r="B17" s="58" t="s">
        <v>52</v>
      </c>
      <c r="C17" s="59">
        <v>6735</v>
      </c>
      <c r="D17" s="59">
        <v>14599</v>
      </c>
      <c r="E17" s="59">
        <v>3936</v>
      </c>
      <c r="F17" s="59">
        <v>2614</v>
      </c>
      <c r="G17" s="59">
        <v>1670</v>
      </c>
      <c r="H17" s="53">
        <f t="shared" si="1"/>
        <v>2.1676317743132887</v>
      </c>
      <c r="I17" s="53">
        <f t="shared" si="2"/>
        <v>0.58440979955456573</v>
      </c>
      <c r="J17" s="53">
        <f t="shared" si="2"/>
        <v>0.38812175204157384</v>
      </c>
      <c r="K17" s="53">
        <f t="shared" si="2"/>
        <v>0.2479584261321455</v>
      </c>
      <c r="L17" s="50">
        <f t="shared" si="9"/>
        <v>0.10236162344779293</v>
      </c>
      <c r="M17" s="50">
        <f t="shared" si="5"/>
        <v>5.156253745849354E-2</v>
      </c>
      <c r="N17" s="50">
        <f t="shared" si="6"/>
        <v>0.2</v>
      </c>
      <c r="O17" s="50">
        <f t="shared" si="7"/>
        <v>6.2448788803651421E-2</v>
      </c>
      <c r="P17" s="54">
        <f t="shared" si="8"/>
        <v>0.41637294970993788</v>
      </c>
      <c r="Q17" s="65">
        <v>2.0945996431753917</v>
      </c>
      <c r="R17" s="51"/>
      <c r="S17" s="36">
        <v>672.75779844961244</v>
      </c>
      <c r="T17" s="37">
        <f t="shared" si="0"/>
        <v>9.9889799324367104E-2</v>
      </c>
      <c r="U17" s="37">
        <f t="shared" si="3"/>
        <v>0.23990463211876359</v>
      </c>
      <c r="V17" s="36">
        <f t="shared" si="4"/>
        <v>4827.9048714759447</v>
      </c>
      <c r="W17" s="48"/>
    </row>
    <row r="18" spans="1:23" s="52" customFormat="1" ht="12.75" x14ac:dyDescent="0.2">
      <c r="A18" s="49">
        <v>9</v>
      </c>
      <c r="B18" s="58" t="s">
        <v>53</v>
      </c>
      <c r="C18" s="59">
        <v>1706</v>
      </c>
      <c r="D18" s="59">
        <v>7024</v>
      </c>
      <c r="E18" s="59">
        <v>2619</v>
      </c>
      <c r="F18" s="59">
        <v>200</v>
      </c>
      <c r="G18" s="59">
        <v>0</v>
      </c>
      <c r="H18" s="53">
        <f t="shared" si="1"/>
        <v>4.1172332942555689</v>
      </c>
      <c r="I18" s="53">
        <f t="shared" si="2"/>
        <v>1.5351699882766705</v>
      </c>
      <c r="J18" s="53">
        <f t="shared" si="2"/>
        <v>0.11723329425556858</v>
      </c>
      <c r="K18" s="53">
        <f t="shared" si="2"/>
        <v>0</v>
      </c>
      <c r="L18" s="50">
        <f t="shared" si="9"/>
        <v>0.1944272496405991</v>
      </c>
      <c r="M18" s="50">
        <f t="shared" si="5"/>
        <v>0.13544820789453596</v>
      </c>
      <c r="N18" s="50">
        <f t="shared" si="6"/>
        <v>6.0410576649675175E-2</v>
      </c>
      <c r="O18" s="50">
        <f t="shared" si="7"/>
        <v>0</v>
      </c>
      <c r="P18" s="54">
        <f t="shared" si="8"/>
        <v>0.39028603418481023</v>
      </c>
      <c r="Q18" s="65">
        <v>1.2887642351200461</v>
      </c>
      <c r="R18" s="51"/>
      <c r="S18" s="36">
        <v>672.75779844961244</v>
      </c>
      <c r="T18" s="37">
        <f t="shared" ref="T18:T40" si="10">S18/C18</f>
        <v>0.39434806474185957</v>
      </c>
      <c r="U18" s="37">
        <f t="shared" ref="U18:U40" si="11">T18/P18</f>
        <v>1.0104078296461048</v>
      </c>
      <c r="V18" s="36">
        <f t="shared" si="4"/>
        <v>576.04018946199619</v>
      </c>
      <c r="W18" s="48"/>
    </row>
    <row r="19" spans="1:23" s="52" customFormat="1" ht="12.75" x14ac:dyDescent="0.2">
      <c r="A19" s="49">
        <v>10</v>
      </c>
      <c r="B19" s="58" t="s">
        <v>54</v>
      </c>
      <c r="C19" s="59">
        <v>1379</v>
      </c>
      <c r="D19" s="59">
        <v>5833</v>
      </c>
      <c r="E19" s="59">
        <v>4538</v>
      </c>
      <c r="F19" s="59">
        <v>0</v>
      </c>
      <c r="G19" s="59">
        <v>0</v>
      </c>
      <c r="H19" s="53">
        <f t="shared" si="1"/>
        <v>4.2298767222625093</v>
      </c>
      <c r="I19" s="53">
        <f t="shared" si="2"/>
        <v>3.2907904278462654</v>
      </c>
      <c r="J19" s="53">
        <f t="shared" si="2"/>
        <v>0</v>
      </c>
      <c r="K19" s="53">
        <f t="shared" si="2"/>
        <v>0</v>
      </c>
      <c r="L19" s="50">
        <f t="shared" si="9"/>
        <v>0.19974658676148435</v>
      </c>
      <c r="M19" s="50">
        <f t="shared" si="5"/>
        <v>0.29034678205807884</v>
      </c>
      <c r="N19" s="50">
        <f t="shared" si="6"/>
        <v>0</v>
      </c>
      <c r="O19" s="50">
        <f t="shared" si="7"/>
        <v>0</v>
      </c>
      <c r="P19" s="54">
        <f t="shared" si="8"/>
        <v>0.49009336881956322</v>
      </c>
      <c r="Q19" s="65">
        <v>1.3916889110168116</v>
      </c>
      <c r="R19" s="51"/>
      <c r="S19" s="36">
        <v>672.75779844961244</v>
      </c>
      <c r="T19" s="37">
        <f t="shared" si="10"/>
        <v>0.4878591721897117</v>
      </c>
      <c r="U19" s="37">
        <f t="shared" si="11"/>
        <v>0.99544128369818019</v>
      </c>
      <c r="V19" s="36">
        <f t="shared" si="4"/>
        <v>595.94461086440174</v>
      </c>
      <c r="W19" s="48"/>
    </row>
    <row r="20" spans="1:23" s="52" customFormat="1" ht="12.75" x14ac:dyDescent="0.2">
      <c r="A20" s="49">
        <v>11</v>
      </c>
      <c r="B20" s="58" t="s">
        <v>55</v>
      </c>
      <c r="C20" s="59">
        <v>1360</v>
      </c>
      <c r="D20" s="59">
        <v>6158</v>
      </c>
      <c r="E20" s="59">
        <v>1699</v>
      </c>
      <c r="F20" s="59">
        <v>200</v>
      </c>
      <c r="G20" s="59">
        <v>540</v>
      </c>
      <c r="H20" s="53">
        <f t="shared" si="1"/>
        <v>4.5279411764705886</v>
      </c>
      <c r="I20" s="53">
        <f t="shared" si="2"/>
        <v>1.2492647058823529</v>
      </c>
      <c r="J20" s="53">
        <f t="shared" si="2"/>
        <v>0.14705882352941177</v>
      </c>
      <c r="K20" s="53">
        <f t="shared" si="2"/>
        <v>0.39705882352941174</v>
      </c>
      <c r="L20" s="50">
        <f t="shared" si="9"/>
        <v>0.21382202235270006</v>
      </c>
      <c r="M20" s="50">
        <f t="shared" si="5"/>
        <v>0.11022275506285098</v>
      </c>
      <c r="N20" s="50">
        <f t="shared" si="6"/>
        <v>7.5779738062019E-2</v>
      </c>
      <c r="O20" s="50">
        <f t="shared" si="7"/>
        <v>9.9999999999999922E-2</v>
      </c>
      <c r="P20" s="54">
        <f t="shared" si="8"/>
        <v>0.49982451547756995</v>
      </c>
      <c r="Q20" s="65">
        <v>2.367195652476223</v>
      </c>
      <c r="R20" s="51"/>
      <c r="S20" s="36">
        <v>672.75779844961244</v>
      </c>
      <c r="T20" s="37">
        <f t="shared" si="10"/>
        <v>0.49467485180118559</v>
      </c>
      <c r="U20" s="37">
        <f t="shared" si="11"/>
        <v>0.98969705663303853</v>
      </c>
      <c r="V20" s="36">
        <f t="shared" si="4"/>
        <v>603.74388162299738</v>
      </c>
      <c r="W20" s="48"/>
    </row>
    <row r="21" spans="1:23" s="52" customFormat="1" ht="12.75" x14ac:dyDescent="0.2">
      <c r="A21" s="49">
        <v>12</v>
      </c>
      <c r="B21" s="58" t="s">
        <v>56</v>
      </c>
      <c r="C21" s="59">
        <v>1128</v>
      </c>
      <c r="D21" s="59">
        <v>5272</v>
      </c>
      <c r="E21" s="59">
        <v>3854</v>
      </c>
      <c r="F21" s="59">
        <v>190</v>
      </c>
      <c r="G21" s="59">
        <v>108</v>
      </c>
      <c r="H21" s="53">
        <f t="shared" si="1"/>
        <v>4.6737588652482271</v>
      </c>
      <c r="I21" s="53">
        <f t="shared" si="2"/>
        <v>3.4166666666666665</v>
      </c>
      <c r="J21" s="53">
        <f t="shared" si="2"/>
        <v>0.16843971631205673</v>
      </c>
      <c r="K21" s="53">
        <f t="shared" si="2"/>
        <v>9.5744680851063829E-2</v>
      </c>
      <c r="L21" s="50">
        <f t="shared" si="9"/>
        <v>0.22070794067497265</v>
      </c>
      <c r="M21" s="50">
        <f t="shared" si="5"/>
        <v>0.30145285571436975</v>
      </c>
      <c r="N21" s="50">
        <f t="shared" si="6"/>
        <v>8.6797359553305448E-2</v>
      </c>
      <c r="O21" s="50">
        <f t="shared" si="7"/>
        <v>2.4113475177304947E-2</v>
      </c>
      <c r="P21" s="54">
        <f t="shared" si="8"/>
        <v>0.6330716311199529</v>
      </c>
      <c r="Q21" s="65">
        <v>2.1644468244087434</v>
      </c>
      <c r="R21" s="51"/>
      <c r="S21" s="36">
        <v>672.75779844961244</v>
      </c>
      <c r="T21" s="37">
        <f t="shared" si="10"/>
        <v>0.59641648798724511</v>
      </c>
      <c r="U21" s="37">
        <f t="shared" si="11"/>
        <v>0.94209953292668958</v>
      </c>
      <c r="V21" s="36">
        <f t="shared" si="4"/>
        <v>672.02892932558814</v>
      </c>
      <c r="W21" s="48"/>
    </row>
    <row r="22" spans="1:23" s="52" customFormat="1" ht="12.75" x14ac:dyDescent="0.2">
      <c r="A22" s="49">
        <v>13</v>
      </c>
      <c r="B22" s="58"/>
      <c r="C22" s="59"/>
      <c r="D22" s="59"/>
      <c r="E22" s="59"/>
      <c r="F22" s="59"/>
      <c r="G22" s="59"/>
      <c r="H22" s="53">
        <f t="shared" si="1"/>
        <v>0</v>
      </c>
      <c r="I22" s="53">
        <f t="shared" si="2"/>
        <v>0</v>
      </c>
      <c r="J22" s="53">
        <f t="shared" si="2"/>
        <v>0</v>
      </c>
      <c r="K22" s="53">
        <f t="shared" si="2"/>
        <v>0</v>
      </c>
      <c r="L22" s="50">
        <f t="shared" si="9"/>
        <v>0</v>
      </c>
      <c r="M22" s="50">
        <f t="shared" si="5"/>
        <v>0</v>
      </c>
      <c r="N22" s="50">
        <f t="shared" si="6"/>
        <v>0</v>
      </c>
      <c r="O22" s="50">
        <f t="shared" si="7"/>
        <v>0</v>
      </c>
      <c r="P22" s="54">
        <f t="shared" si="8"/>
        <v>0</v>
      </c>
      <c r="Q22" s="65">
        <v>0</v>
      </c>
      <c r="R22" s="51"/>
      <c r="S22" s="36">
        <v>672.75779844961244</v>
      </c>
      <c r="T22" s="37" t="e">
        <f t="shared" si="10"/>
        <v>#DIV/0!</v>
      </c>
      <c r="U22" s="37" t="e">
        <f t="shared" si="11"/>
        <v>#DIV/0!</v>
      </c>
      <c r="V22" s="36" t="e">
        <f t="shared" si="4"/>
        <v>#DIV/0!</v>
      </c>
      <c r="W22" s="48"/>
    </row>
    <row r="23" spans="1:23" s="52" customFormat="1" ht="12.75" x14ac:dyDescent="0.2">
      <c r="A23" s="49">
        <v>14</v>
      </c>
      <c r="B23" s="58"/>
      <c r="C23" s="59"/>
      <c r="D23" s="59"/>
      <c r="E23" s="59"/>
      <c r="F23" s="59"/>
      <c r="G23" s="59"/>
      <c r="H23" s="53">
        <f t="shared" si="1"/>
        <v>0</v>
      </c>
      <c r="I23" s="53">
        <f t="shared" si="2"/>
        <v>0</v>
      </c>
      <c r="J23" s="53">
        <f t="shared" si="2"/>
        <v>0</v>
      </c>
      <c r="K23" s="53">
        <f t="shared" si="2"/>
        <v>0</v>
      </c>
      <c r="L23" s="50">
        <f t="shared" si="9"/>
        <v>0</v>
      </c>
      <c r="M23" s="50">
        <f t="shared" si="5"/>
        <v>0</v>
      </c>
      <c r="N23" s="50">
        <f t="shared" si="6"/>
        <v>0</v>
      </c>
      <c r="O23" s="50">
        <f t="shared" si="7"/>
        <v>0</v>
      </c>
      <c r="P23" s="54">
        <f t="shared" si="8"/>
        <v>0</v>
      </c>
      <c r="Q23" s="65">
        <v>0</v>
      </c>
      <c r="R23" s="51"/>
      <c r="S23" s="36">
        <v>672.75779844961244</v>
      </c>
      <c r="T23" s="37" t="e">
        <f t="shared" si="10"/>
        <v>#DIV/0!</v>
      </c>
      <c r="U23" s="37" t="e">
        <f t="shared" si="11"/>
        <v>#DIV/0!</v>
      </c>
      <c r="V23" s="36" t="e">
        <f t="shared" si="4"/>
        <v>#DIV/0!</v>
      </c>
      <c r="W23" s="48"/>
    </row>
    <row r="24" spans="1:23" s="52" customFormat="1" ht="12.75" x14ac:dyDescent="0.2">
      <c r="A24" s="49">
        <v>15</v>
      </c>
      <c r="B24" s="58"/>
      <c r="C24" s="59"/>
      <c r="D24" s="59"/>
      <c r="E24" s="59"/>
      <c r="F24" s="59"/>
      <c r="G24" s="59"/>
      <c r="H24" s="53">
        <f t="shared" si="1"/>
        <v>0</v>
      </c>
      <c r="I24" s="53">
        <f t="shared" si="2"/>
        <v>0</v>
      </c>
      <c r="J24" s="53">
        <f t="shared" si="2"/>
        <v>0</v>
      </c>
      <c r="K24" s="53">
        <f t="shared" si="2"/>
        <v>0</v>
      </c>
      <c r="L24" s="50">
        <f t="shared" si="9"/>
        <v>0</v>
      </c>
      <c r="M24" s="50">
        <f t="shared" si="5"/>
        <v>0</v>
      </c>
      <c r="N24" s="50">
        <f t="shared" si="6"/>
        <v>0</v>
      </c>
      <c r="O24" s="50">
        <f t="shared" si="7"/>
        <v>0</v>
      </c>
      <c r="P24" s="54">
        <f t="shared" si="8"/>
        <v>0</v>
      </c>
      <c r="Q24" s="65">
        <v>0</v>
      </c>
      <c r="R24" s="51"/>
      <c r="S24" s="36">
        <v>672.75779844961244</v>
      </c>
      <c r="T24" s="37" t="e">
        <f t="shared" si="10"/>
        <v>#DIV/0!</v>
      </c>
      <c r="U24" s="37" t="e">
        <f t="shared" si="11"/>
        <v>#DIV/0!</v>
      </c>
      <c r="V24" s="36" t="e">
        <f t="shared" si="4"/>
        <v>#DIV/0!</v>
      </c>
      <c r="W24" s="48"/>
    </row>
    <row r="25" spans="1:23" s="52" customFormat="1" ht="12.75" x14ac:dyDescent="0.2">
      <c r="A25" s="49">
        <v>16</v>
      </c>
      <c r="B25" s="58"/>
      <c r="C25" s="59"/>
      <c r="D25" s="59"/>
      <c r="E25" s="59"/>
      <c r="F25" s="59"/>
      <c r="G25" s="59"/>
      <c r="H25" s="53">
        <f t="shared" si="1"/>
        <v>0</v>
      </c>
      <c r="I25" s="53">
        <f t="shared" si="2"/>
        <v>0</v>
      </c>
      <c r="J25" s="53">
        <f t="shared" si="2"/>
        <v>0</v>
      </c>
      <c r="K25" s="53">
        <f t="shared" si="2"/>
        <v>0</v>
      </c>
      <c r="L25" s="50">
        <f t="shared" si="9"/>
        <v>0</v>
      </c>
      <c r="M25" s="50">
        <f t="shared" si="5"/>
        <v>0</v>
      </c>
      <c r="N25" s="50">
        <f t="shared" si="6"/>
        <v>0</v>
      </c>
      <c r="O25" s="50">
        <f t="shared" si="7"/>
        <v>0</v>
      </c>
      <c r="P25" s="54">
        <f t="shared" si="8"/>
        <v>0</v>
      </c>
      <c r="Q25" s="65">
        <v>0</v>
      </c>
      <c r="R25" s="51"/>
      <c r="S25" s="36">
        <v>672.75779844961244</v>
      </c>
      <c r="T25" s="37" t="e">
        <f t="shared" si="10"/>
        <v>#DIV/0!</v>
      </c>
      <c r="U25" s="37" t="e">
        <f t="shared" si="11"/>
        <v>#DIV/0!</v>
      </c>
      <c r="V25" s="36" t="e">
        <f t="shared" si="4"/>
        <v>#DIV/0!</v>
      </c>
      <c r="W25" s="48"/>
    </row>
    <row r="26" spans="1:23" s="52" customFormat="1" ht="12.75" x14ac:dyDescent="0.2">
      <c r="A26" s="49">
        <v>17</v>
      </c>
      <c r="B26" s="58"/>
      <c r="C26" s="59"/>
      <c r="D26" s="59"/>
      <c r="E26" s="59"/>
      <c r="F26" s="59"/>
      <c r="G26" s="59"/>
      <c r="H26" s="53">
        <f t="shared" si="1"/>
        <v>0</v>
      </c>
      <c r="I26" s="53">
        <f>IF($C26=0, ,E26/$C26)</f>
        <v>0</v>
      </c>
      <c r="J26" s="53">
        <f>IF($C26=0, ,F26/$C26)</f>
        <v>0</v>
      </c>
      <c r="K26" s="53">
        <f>IF($C26=0, ,G26/$C26)</f>
        <v>0</v>
      </c>
      <c r="L26" s="50">
        <f t="shared" si="9"/>
        <v>0</v>
      </c>
      <c r="M26" s="50">
        <f t="shared" si="5"/>
        <v>0</v>
      </c>
      <c r="N26" s="50">
        <f t="shared" si="6"/>
        <v>0</v>
      </c>
      <c r="O26" s="50">
        <f t="shared" si="7"/>
        <v>0</v>
      </c>
      <c r="P26" s="54">
        <f t="shared" si="8"/>
        <v>0</v>
      </c>
      <c r="Q26" s="65">
        <v>0</v>
      </c>
      <c r="R26" s="51"/>
      <c r="S26" s="36">
        <v>672.75779844961244</v>
      </c>
      <c r="T26" s="37" t="e">
        <f t="shared" si="10"/>
        <v>#DIV/0!</v>
      </c>
      <c r="U26" s="37" t="e">
        <f t="shared" si="11"/>
        <v>#DIV/0!</v>
      </c>
      <c r="V26" s="36" t="e">
        <f t="shared" si="4"/>
        <v>#DIV/0!</v>
      </c>
      <c r="W26" s="48"/>
    </row>
    <row r="27" spans="1:23" s="52" customFormat="1" ht="12.75" x14ac:dyDescent="0.2">
      <c r="A27" s="49">
        <v>18</v>
      </c>
      <c r="B27" s="58"/>
      <c r="C27" s="59"/>
      <c r="D27" s="59"/>
      <c r="E27" s="59"/>
      <c r="F27" s="59"/>
      <c r="G27" s="59"/>
      <c r="H27" s="53">
        <f t="shared" ref="H27:K40" si="12">IF($C27=0, ,D27/$C27)</f>
        <v>0</v>
      </c>
      <c r="I27" s="53">
        <f t="shared" si="12"/>
        <v>0</v>
      </c>
      <c r="J27" s="53">
        <f t="shared" si="12"/>
        <v>0</v>
      </c>
      <c r="K27" s="53">
        <f t="shared" si="12"/>
        <v>0</v>
      </c>
      <c r="L27" s="50">
        <f t="shared" si="9"/>
        <v>0</v>
      </c>
      <c r="M27" s="50">
        <f t="shared" si="5"/>
        <v>0</v>
      </c>
      <c r="N27" s="50">
        <f t="shared" si="6"/>
        <v>0</v>
      </c>
      <c r="O27" s="50">
        <f t="shared" si="7"/>
        <v>0</v>
      </c>
      <c r="P27" s="54">
        <f t="shared" si="8"/>
        <v>0</v>
      </c>
      <c r="Q27" s="65">
        <v>0</v>
      </c>
      <c r="R27" s="51"/>
      <c r="S27" s="36">
        <v>672.75779844961244</v>
      </c>
      <c r="T27" s="37" t="e">
        <f t="shared" si="10"/>
        <v>#DIV/0!</v>
      </c>
      <c r="U27" s="37" t="e">
        <f t="shared" si="11"/>
        <v>#DIV/0!</v>
      </c>
      <c r="V27" s="36" t="e">
        <f t="shared" si="4"/>
        <v>#DIV/0!</v>
      </c>
      <c r="W27" s="48"/>
    </row>
    <row r="28" spans="1:23" s="52" customFormat="1" ht="12.75" x14ac:dyDescent="0.2">
      <c r="A28" s="49">
        <v>19</v>
      </c>
      <c r="B28" s="58"/>
      <c r="C28" s="59"/>
      <c r="D28" s="59"/>
      <c r="E28" s="59"/>
      <c r="F28" s="59"/>
      <c r="G28" s="59"/>
      <c r="H28" s="53">
        <f t="shared" si="12"/>
        <v>0</v>
      </c>
      <c r="I28" s="53">
        <f t="shared" si="12"/>
        <v>0</v>
      </c>
      <c r="J28" s="53">
        <f t="shared" si="12"/>
        <v>0</v>
      </c>
      <c r="K28" s="53">
        <f t="shared" si="12"/>
        <v>0</v>
      </c>
      <c r="L28" s="50">
        <f t="shared" si="9"/>
        <v>0</v>
      </c>
      <c r="M28" s="50">
        <f t="shared" si="5"/>
        <v>0</v>
      </c>
      <c r="N28" s="50">
        <f t="shared" si="6"/>
        <v>0</v>
      </c>
      <c r="O28" s="50">
        <f t="shared" si="7"/>
        <v>0</v>
      </c>
      <c r="P28" s="54">
        <f t="shared" si="8"/>
        <v>0</v>
      </c>
      <c r="Q28" s="65">
        <v>0</v>
      </c>
      <c r="R28" s="51"/>
      <c r="S28" s="36">
        <v>672.75779844961244</v>
      </c>
      <c r="T28" s="37" t="e">
        <f t="shared" si="10"/>
        <v>#DIV/0!</v>
      </c>
      <c r="U28" s="37" t="e">
        <f t="shared" si="11"/>
        <v>#DIV/0!</v>
      </c>
      <c r="V28" s="36" t="e">
        <f t="shared" si="4"/>
        <v>#DIV/0!</v>
      </c>
      <c r="W28" s="48"/>
    </row>
    <row r="29" spans="1:23" s="52" customFormat="1" ht="12.75" x14ac:dyDescent="0.2">
      <c r="A29" s="49">
        <v>20</v>
      </c>
      <c r="B29" s="58"/>
      <c r="C29" s="59"/>
      <c r="D29" s="59"/>
      <c r="E29" s="59"/>
      <c r="F29" s="59"/>
      <c r="G29" s="59"/>
      <c r="H29" s="53">
        <f t="shared" si="12"/>
        <v>0</v>
      </c>
      <c r="I29" s="53">
        <f t="shared" si="12"/>
        <v>0</v>
      </c>
      <c r="J29" s="53">
        <f t="shared" si="12"/>
        <v>0</v>
      </c>
      <c r="K29" s="53">
        <f t="shared" si="12"/>
        <v>0</v>
      </c>
      <c r="L29" s="50">
        <f t="shared" si="9"/>
        <v>0</v>
      </c>
      <c r="M29" s="50">
        <f t="shared" si="5"/>
        <v>0</v>
      </c>
      <c r="N29" s="50">
        <f t="shared" si="6"/>
        <v>0</v>
      </c>
      <c r="O29" s="50">
        <f t="shared" si="7"/>
        <v>0</v>
      </c>
      <c r="P29" s="54">
        <f t="shared" si="8"/>
        <v>0</v>
      </c>
      <c r="Q29" s="65">
        <v>0</v>
      </c>
      <c r="R29" s="51"/>
      <c r="S29" s="36">
        <v>672.75779844961244</v>
      </c>
      <c r="T29" s="37" t="e">
        <f t="shared" si="10"/>
        <v>#DIV/0!</v>
      </c>
      <c r="U29" s="37" t="e">
        <f t="shared" si="11"/>
        <v>#DIV/0!</v>
      </c>
      <c r="V29" s="36" t="e">
        <f t="shared" si="4"/>
        <v>#DIV/0!</v>
      </c>
      <c r="W29" s="48"/>
    </row>
    <row r="30" spans="1:23" s="52" customFormat="1" ht="12.75" x14ac:dyDescent="0.2">
      <c r="A30" s="49">
        <v>21</v>
      </c>
      <c r="B30" s="58"/>
      <c r="C30" s="59"/>
      <c r="D30" s="59"/>
      <c r="E30" s="59"/>
      <c r="F30" s="59"/>
      <c r="G30" s="59"/>
      <c r="H30" s="53">
        <f t="shared" si="12"/>
        <v>0</v>
      </c>
      <c r="I30" s="53">
        <f t="shared" si="12"/>
        <v>0</v>
      </c>
      <c r="J30" s="53">
        <f t="shared" si="12"/>
        <v>0</v>
      </c>
      <c r="K30" s="53">
        <f t="shared" si="12"/>
        <v>0</v>
      </c>
      <c r="L30" s="50">
        <f t="shared" si="9"/>
        <v>0</v>
      </c>
      <c r="M30" s="50">
        <f t="shared" si="5"/>
        <v>0</v>
      </c>
      <c r="N30" s="50">
        <f t="shared" si="6"/>
        <v>0</v>
      </c>
      <c r="O30" s="50">
        <f t="shared" si="7"/>
        <v>0</v>
      </c>
      <c r="P30" s="54">
        <f t="shared" si="8"/>
        <v>0</v>
      </c>
      <c r="Q30" s="65">
        <v>0</v>
      </c>
      <c r="R30" s="51"/>
      <c r="S30" s="36">
        <v>672.75779844961244</v>
      </c>
      <c r="T30" s="37" t="e">
        <f t="shared" si="10"/>
        <v>#DIV/0!</v>
      </c>
      <c r="U30" s="37" t="e">
        <f t="shared" si="11"/>
        <v>#DIV/0!</v>
      </c>
      <c r="V30" s="36" t="e">
        <f t="shared" si="4"/>
        <v>#DIV/0!</v>
      </c>
      <c r="W30" s="48"/>
    </row>
    <row r="31" spans="1:23" s="52" customFormat="1" ht="12.75" x14ac:dyDescent="0.2">
      <c r="A31" s="49">
        <v>22</v>
      </c>
      <c r="B31" s="58"/>
      <c r="C31" s="59"/>
      <c r="D31" s="59"/>
      <c r="E31" s="59"/>
      <c r="F31" s="59"/>
      <c r="G31" s="59"/>
      <c r="H31" s="53">
        <f t="shared" si="12"/>
        <v>0</v>
      </c>
      <c r="I31" s="53">
        <f t="shared" si="12"/>
        <v>0</v>
      </c>
      <c r="J31" s="53">
        <f t="shared" si="12"/>
        <v>0</v>
      </c>
      <c r="K31" s="53">
        <f t="shared" si="12"/>
        <v>0</v>
      </c>
      <c r="L31" s="50">
        <f t="shared" si="9"/>
        <v>0</v>
      </c>
      <c r="M31" s="50">
        <f t="shared" si="5"/>
        <v>0</v>
      </c>
      <c r="N31" s="50">
        <f t="shared" si="6"/>
        <v>0</v>
      </c>
      <c r="O31" s="50">
        <f t="shared" si="7"/>
        <v>0</v>
      </c>
      <c r="P31" s="54">
        <f t="shared" si="8"/>
        <v>0</v>
      </c>
      <c r="Q31" s="65">
        <v>0</v>
      </c>
      <c r="R31" s="51"/>
      <c r="S31" s="36">
        <v>672.75779844961244</v>
      </c>
      <c r="T31" s="37" t="e">
        <f t="shared" si="10"/>
        <v>#DIV/0!</v>
      </c>
      <c r="U31" s="37" t="e">
        <f t="shared" si="11"/>
        <v>#DIV/0!</v>
      </c>
      <c r="V31" s="36" t="e">
        <f t="shared" si="4"/>
        <v>#DIV/0!</v>
      </c>
      <c r="W31" s="48"/>
    </row>
    <row r="32" spans="1:23" s="52" customFormat="1" ht="12.75" x14ac:dyDescent="0.2">
      <c r="A32" s="49">
        <v>23</v>
      </c>
      <c r="B32" s="58"/>
      <c r="C32" s="59"/>
      <c r="D32" s="59"/>
      <c r="E32" s="59"/>
      <c r="F32" s="59"/>
      <c r="G32" s="59"/>
      <c r="H32" s="53">
        <f t="shared" si="12"/>
        <v>0</v>
      </c>
      <c r="I32" s="53">
        <f t="shared" si="12"/>
        <v>0</v>
      </c>
      <c r="J32" s="53">
        <f t="shared" si="12"/>
        <v>0</v>
      </c>
      <c r="K32" s="53">
        <f t="shared" si="12"/>
        <v>0</v>
      </c>
      <c r="L32" s="50">
        <f t="shared" si="9"/>
        <v>0</v>
      </c>
      <c r="M32" s="50">
        <f t="shared" si="5"/>
        <v>0</v>
      </c>
      <c r="N32" s="50">
        <f t="shared" si="6"/>
        <v>0</v>
      </c>
      <c r="O32" s="50">
        <f t="shared" si="7"/>
        <v>0</v>
      </c>
      <c r="P32" s="54">
        <f t="shared" si="8"/>
        <v>0</v>
      </c>
      <c r="Q32" s="65">
        <v>0</v>
      </c>
      <c r="R32" s="51"/>
      <c r="S32" s="36">
        <v>672.75779844961244</v>
      </c>
      <c r="T32" s="37" t="e">
        <f t="shared" si="10"/>
        <v>#DIV/0!</v>
      </c>
      <c r="U32" s="37" t="e">
        <f t="shared" si="11"/>
        <v>#DIV/0!</v>
      </c>
      <c r="V32" s="36" t="e">
        <f t="shared" si="4"/>
        <v>#DIV/0!</v>
      </c>
      <c r="W32" s="48"/>
    </row>
    <row r="33" spans="1:23" s="52" customFormat="1" ht="12.75" x14ac:dyDescent="0.2">
      <c r="A33" s="49">
        <v>24</v>
      </c>
      <c r="B33" s="58"/>
      <c r="C33" s="59"/>
      <c r="D33" s="59"/>
      <c r="E33" s="59"/>
      <c r="F33" s="59"/>
      <c r="G33" s="59"/>
      <c r="H33" s="53">
        <f t="shared" si="12"/>
        <v>0</v>
      </c>
      <c r="I33" s="53">
        <f t="shared" si="12"/>
        <v>0</v>
      </c>
      <c r="J33" s="53">
        <f t="shared" si="12"/>
        <v>0</v>
      </c>
      <c r="K33" s="53">
        <f t="shared" si="12"/>
        <v>0</v>
      </c>
      <c r="L33" s="50">
        <f t="shared" si="9"/>
        <v>0</v>
      </c>
      <c r="M33" s="50">
        <f t="shared" si="5"/>
        <v>0</v>
      </c>
      <c r="N33" s="50">
        <f t="shared" si="6"/>
        <v>0</v>
      </c>
      <c r="O33" s="50">
        <f t="shared" si="7"/>
        <v>0</v>
      </c>
      <c r="P33" s="54">
        <f t="shared" si="8"/>
        <v>0</v>
      </c>
      <c r="Q33" s="65">
        <v>0</v>
      </c>
      <c r="R33" s="51"/>
      <c r="S33" s="36">
        <v>672.75779844961244</v>
      </c>
      <c r="T33" s="37" t="e">
        <f t="shared" si="10"/>
        <v>#DIV/0!</v>
      </c>
      <c r="U33" s="37" t="e">
        <f t="shared" si="11"/>
        <v>#DIV/0!</v>
      </c>
      <c r="V33" s="36" t="e">
        <f t="shared" si="4"/>
        <v>#DIV/0!</v>
      </c>
      <c r="W33" s="48"/>
    </row>
    <row r="34" spans="1:23" s="52" customFormat="1" ht="12.75" x14ac:dyDescent="0.2">
      <c r="A34" s="49">
        <v>25</v>
      </c>
      <c r="B34" s="58"/>
      <c r="C34" s="59"/>
      <c r="D34" s="59"/>
      <c r="E34" s="59"/>
      <c r="F34" s="59"/>
      <c r="G34" s="59"/>
      <c r="H34" s="53">
        <f t="shared" si="12"/>
        <v>0</v>
      </c>
      <c r="I34" s="53">
        <f t="shared" si="12"/>
        <v>0</v>
      </c>
      <c r="J34" s="53">
        <f t="shared" si="12"/>
        <v>0</v>
      </c>
      <c r="K34" s="53">
        <f t="shared" si="12"/>
        <v>0</v>
      </c>
      <c r="L34" s="50">
        <f t="shared" si="9"/>
        <v>0</v>
      </c>
      <c r="M34" s="50">
        <f t="shared" si="5"/>
        <v>0</v>
      </c>
      <c r="N34" s="50">
        <f t="shared" si="6"/>
        <v>0</v>
      </c>
      <c r="O34" s="50">
        <f t="shared" si="7"/>
        <v>0</v>
      </c>
      <c r="P34" s="54">
        <f t="shared" si="8"/>
        <v>0</v>
      </c>
      <c r="Q34" s="65">
        <v>0</v>
      </c>
      <c r="R34" s="51"/>
      <c r="S34" s="36">
        <v>672.75779844961244</v>
      </c>
      <c r="T34" s="37" t="e">
        <f t="shared" si="10"/>
        <v>#DIV/0!</v>
      </c>
      <c r="U34" s="37" t="e">
        <f t="shared" si="11"/>
        <v>#DIV/0!</v>
      </c>
      <c r="V34" s="36" t="e">
        <f t="shared" si="4"/>
        <v>#DIV/0!</v>
      </c>
      <c r="W34" s="48"/>
    </row>
    <row r="35" spans="1:23" s="52" customFormat="1" ht="12.75" x14ac:dyDescent="0.2">
      <c r="A35" s="49">
        <v>26</v>
      </c>
      <c r="B35" s="58"/>
      <c r="C35" s="59"/>
      <c r="D35" s="59"/>
      <c r="E35" s="59"/>
      <c r="F35" s="59"/>
      <c r="G35" s="59"/>
      <c r="H35" s="53">
        <f t="shared" si="12"/>
        <v>0</v>
      </c>
      <c r="I35" s="53">
        <f t="shared" si="12"/>
        <v>0</v>
      </c>
      <c r="J35" s="53">
        <f t="shared" si="12"/>
        <v>0</v>
      </c>
      <c r="K35" s="53">
        <f t="shared" si="12"/>
        <v>0</v>
      </c>
      <c r="L35" s="50">
        <f t="shared" si="9"/>
        <v>0</v>
      </c>
      <c r="M35" s="50">
        <f t="shared" si="5"/>
        <v>0</v>
      </c>
      <c r="N35" s="50">
        <f t="shared" si="6"/>
        <v>0</v>
      </c>
      <c r="O35" s="50">
        <f t="shared" si="7"/>
        <v>0</v>
      </c>
      <c r="P35" s="54">
        <f t="shared" si="8"/>
        <v>0</v>
      </c>
      <c r="Q35" s="65">
        <v>0</v>
      </c>
      <c r="R35" s="51"/>
      <c r="S35" s="36">
        <v>672.75779844961244</v>
      </c>
      <c r="T35" s="37" t="e">
        <f t="shared" si="10"/>
        <v>#DIV/0!</v>
      </c>
      <c r="U35" s="37" t="e">
        <f t="shared" si="11"/>
        <v>#DIV/0!</v>
      </c>
      <c r="V35" s="36" t="e">
        <f t="shared" si="4"/>
        <v>#DIV/0!</v>
      </c>
      <c r="W35" s="48"/>
    </row>
    <row r="36" spans="1:23" s="52" customFormat="1" ht="12.75" x14ac:dyDescent="0.2">
      <c r="A36" s="49">
        <v>27</v>
      </c>
      <c r="B36" s="58"/>
      <c r="C36" s="59"/>
      <c r="D36" s="59"/>
      <c r="E36" s="59"/>
      <c r="F36" s="59"/>
      <c r="G36" s="59"/>
      <c r="H36" s="53">
        <f t="shared" si="12"/>
        <v>0</v>
      </c>
      <c r="I36" s="53">
        <f t="shared" si="12"/>
        <v>0</v>
      </c>
      <c r="J36" s="53">
        <f t="shared" si="12"/>
        <v>0</v>
      </c>
      <c r="K36" s="53">
        <f t="shared" si="12"/>
        <v>0</v>
      </c>
      <c r="L36" s="50">
        <f t="shared" si="9"/>
        <v>0</v>
      </c>
      <c r="M36" s="50">
        <f t="shared" si="5"/>
        <v>0</v>
      </c>
      <c r="N36" s="50">
        <f t="shared" si="6"/>
        <v>0</v>
      </c>
      <c r="O36" s="50">
        <f t="shared" si="7"/>
        <v>0</v>
      </c>
      <c r="P36" s="54">
        <f t="shared" si="8"/>
        <v>0</v>
      </c>
      <c r="Q36" s="65">
        <v>0</v>
      </c>
      <c r="R36" s="51"/>
      <c r="S36" s="36">
        <v>672.75779844961244</v>
      </c>
      <c r="T36" s="37" t="e">
        <f t="shared" si="10"/>
        <v>#DIV/0!</v>
      </c>
      <c r="U36" s="37" t="e">
        <f t="shared" si="11"/>
        <v>#DIV/0!</v>
      </c>
      <c r="V36" s="36" t="e">
        <f t="shared" si="4"/>
        <v>#DIV/0!</v>
      </c>
      <c r="W36" s="48"/>
    </row>
    <row r="37" spans="1:23" s="52" customFormat="1" ht="12.75" x14ac:dyDescent="0.2">
      <c r="A37" s="49">
        <v>28</v>
      </c>
      <c r="B37" s="58"/>
      <c r="C37" s="59"/>
      <c r="D37" s="59"/>
      <c r="E37" s="59"/>
      <c r="F37" s="59"/>
      <c r="G37" s="59"/>
      <c r="H37" s="53">
        <f t="shared" si="12"/>
        <v>0</v>
      </c>
      <c r="I37" s="53">
        <f t="shared" si="12"/>
        <v>0</v>
      </c>
      <c r="J37" s="53">
        <f t="shared" si="12"/>
        <v>0</v>
      </c>
      <c r="K37" s="53">
        <f t="shared" si="12"/>
        <v>0</v>
      </c>
      <c r="L37" s="50">
        <f t="shared" si="9"/>
        <v>0</v>
      </c>
      <c r="M37" s="50">
        <f t="shared" si="5"/>
        <v>0</v>
      </c>
      <c r="N37" s="50">
        <f t="shared" si="6"/>
        <v>0</v>
      </c>
      <c r="O37" s="50">
        <f t="shared" si="7"/>
        <v>0</v>
      </c>
      <c r="P37" s="54">
        <f t="shared" si="8"/>
        <v>0</v>
      </c>
      <c r="Q37" s="65">
        <v>0</v>
      </c>
      <c r="R37" s="51"/>
      <c r="S37" s="36">
        <v>672.75779844961244</v>
      </c>
      <c r="T37" s="37" t="e">
        <f t="shared" si="10"/>
        <v>#DIV/0!</v>
      </c>
      <c r="U37" s="37" t="e">
        <f t="shared" si="11"/>
        <v>#DIV/0!</v>
      </c>
      <c r="V37" s="36" t="e">
        <f t="shared" si="4"/>
        <v>#DIV/0!</v>
      </c>
      <c r="W37" s="48"/>
    </row>
    <row r="38" spans="1:23" s="52" customFormat="1" ht="12.75" x14ac:dyDescent="0.2">
      <c r="A38" s="49">
        <v>29</v>
      </c>
      <c r="B38" s="58"/>
      <c r="C38" s="59"/>
      <c r="D38" s="59"/>
      <c r="E38" s="59"/>
      <c r="F38" s="59"/>
      <c r="G38" s="59"/>
      <c r="H38" s="53">
        <f t="shared" si="12"/>
        <v>0</v>
      </c>
      <c r="I38" s="53">
        <f t="shared" si="12"/>
        <v>0</v>
      </c>
      <c r="J38" s="53">
        <f t="shared" si="12"/>
        <v>0</v>
      </c>
      <c r="K38" s="53">
        <f t="shared" si="12"/>
        <v>0</v>
      </c>
      <c r="L38" s="50">
        <f t="shared" si="9"/>
        <v>0</v>
      </c>
      <c r="M38" s="50">
        <f t="shared" si="5"/>
        <v>0</v>
      </c>
      <c r="N38" s="50">
        <f t="shared" si="6"/>
        <v>0</v>
      </c>
      <c r="O38" s="50">
        <f t="shared" si="7"/>
        <v>0</v>
      </c>
      <c r="P38" s="54">
        <f t="shared" si="8"/>
        <v>0</v>
      </c>
      <c r="Q38" s="65">
        <v>0</v>
      </c>
      <c r="R38" s="51"/>
      <c r="S38" s="36">
        <v>672.75779844961244</v>
      </c>
      <c r="T38" s="37" t="e">
        <f t="shared" si="10"/>
        <v>#DIV/0!</v>
      </c>
      <c r="U38" s="37" t="e">
        <f t="shared" si="11"/>
        <v>#DIV/0!</v>
      </c>
      <c r="V38" s="36" t="e">
        <f t="shared" si="4"/>
        <v>#DIV/0!</v>
      </c>
      <c r="W38" s="48"/>
    </row>
    <row r="39" spans="1:23" s="52" customFormat="1" ht="12.75" x14ac:dyDescent="0.2">
      <c r="A39" s="49">
        <v>30</v>
      </c>
      <c r="B39" s="58"/>
      <c r="C39" s="59"/>
      <c r="D39" s="59"/>
      <c r="E39" s="59"/>
      <c r="F39" s="59"/>
      <c r="G39" s="59"/>
      <c r="H39" s="53">
        <f t="shared" si="12"/>
        <v>0</v>
      </c>
      <c r="I39" s="53">
        <f t="shared" si="12"/>
        <v>0</v>
      </c>
      <c r="J39" s="53">
        <f t="shared" si="12"/>
        <v>0</v>
      </c>
      <c r="K39" s="53">
        <f t="shared" si="12"/>
        <v>0</v>
      </c>
      <c r="L39" s="50">
        <f t="shared" si="9"/>
        <v>0</v>
      </c>
      <c r="M39" s="50">
        <f t="shared" si="5"/>
        <v>0</v>
      </c>
      <c r="N39" s="50">
        <f t="shared" si="6"/>
        <v>0</v>
      </c>
      <c r="O39" s="50">
        <f t="shared" si="7"/>
        <v>0</v>
      </c>
      <c r="P39" s="54">
        <f t="shared" si="8"/>
        <v>0</v>
      </c>
      <c r="Q39" s="65">
        <v>0</v>
      </c>
      <c r="R39" s="51"/>
      <c r="S39" s="36">
        <v>672.75779844961244</v>
      </c>
      <c r="T39" s="37" t="e">
        <f t="shared" si="10"/>
        <v>#DIV/0!</v>
      </c>
      <c r="U39" s="37" t="e">
        <f t="shared" si="11"/>
        <v>#DIV/0!</v>
      </c>
      <c r="V39" s="36" t="e">
        <f t="shared" si="4"/>
        <v>#DIV/0!</v>
      </c>
      <c r="W39" s="48"/>
    </row>
    <row r="40" spans="1:23" s="52" customFormat="1" ht="12.75" x14ac:dyDescent="0.2">
      <c r="A40" s="49">
        <v>31</v>
      </c>
      <c r="B40" s="58"/>
      <c r="C40" s="59"/>
      <c r="D40" s="59"/>
      <c r="E40" s="59"/>
      <c r="F40" s="59"/>
      <c r="G40" s="59"/>
      <c r="H40" s="53">
        <f t="shared" si="12"/>
        <v>0</v>
      </c>
      <c r="I40" s="53">
        <f t="shared" si="12"/>
        <v>0</v>
      </c>
      <c r="J40" s="53">
        <f t="shared" si="12"/>
        <v>0</v>
      </c>
      <c r="K40" s="53">
        <f t="shared" si="12"/>
        <v>0</v>
      </c>
      <c r="L40" s="50">
        <f t="shared" si="9"/>
        <v>0</v>
      </c>
      <c r="M40" s="50">
        <f t="shared" si="5"/>
        <v>0</v>
      </c>
      <c r="N40" s="50">
        <f t="shared" si="6"/>
        <v>0</v>
      </c>
      <c r="O40" s="50">
        <f t="shared" si="7"/>
        <v>0</v>
      </c>
      <c r="P40" s="54">
        <f t="shared" si="8"/>
        <v>0</v>
      </c>
      <c r="Q40" s="65">
        <v>0</v>
      </c>
      <c r="R40" s="51"/>
      <c r="S40" s="36">
        <v>672.75779844961244</v>
      </c>
      <c r="T40" s="37" t="e">
        <f t="shared" si="10"/>
        <v>#DIV/0!</v>
      </c>
      <c r="U40" s="37" t="e">
        <f t="shared" si="11"/>
        <v>#DIV/0!</v>
      </c>
      <c r="V40" s="36" t="e">
        <f t="shared" si="4"/>
        <v>#DIV/0!</v>
      </c>
      <c r="W40" s="48"/>
    </row>
  </sheetData>
  <sheetProtection autoFilter="0"/>
  <mergeCells count="14">
    <mergeCell ref="G7:G8"/>
    <mergeCell ref="H7:K7"/>
    <mergeCell ref="L7:O7"/>
    <mergeCell ref="P7:P8"/>
    <mergeCell ref="A1:P1"/>
    <mergeCell ref="A2:P2"/>
    <mergeCell ref="A3:P3"/>
    <mergeCell ref="A4:P4"/>
    <mergeCell ref="E7:E8"/>
    <mergeCell ref="F7:F8"/>
    <mergeCell ref="A7:A8"/>
    <mergeCell ref="B7:B8"/>
    <mergeCell ref="C7:C8"/>
    <mergeCell ref="D7:D8"/>
  </mergeCells>
  <phoneticPr fontId="83" type="noConversion"/>
  <conditionalFormatting sqref="H10:H40">
    <cfRule type="cellIs" dxfId="3" priority="4" operator="equal">
      <formula>H$9</formula>
    </cfRule>
  </conditionalFormatting>
  <conditionalFormatting sqref="I10:I40">
    <cfRule type="cellIs" dxfId="2" priority="3" operator="equal">
      <formula>I$9</formula>
    </cfRule>
  </conditionalFormatting>
  <conditionalFormatting sqref="J10:J40">
    <cfRule type="cellIs" dxfId="1" priority="2" operator="equal">
      <formula>J$9</formula>
    </cfRule>
  </conditionalFormatting>
  <conditionalFormatting sqref="K10:K40">
    <cfRule type="cellIs" dxfId="0" priority="1" operator="equal">
      <formula>K$9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ИНП</vt:lpstr>
      <vt:lpstr>ИБР</vt:lpstr>
      <vt:lpstr>Дотация 2020</vt:lpstr>
      <vt:lpstr>2021</vt:lpstr>
      <vt:lpstr>2022</vt:lpstr>
      <vt:lpstr>24</vt:lpstr>
      <vt:lpstr>28</vt:lpstr>
      <vt:lpstr>41</vt:lpstr>
      <vt:lpstr>'24'!Область_печати</vt:lpstr>
      <vt:lpstr>'28'!Область_печати</vt:lpstr>
      <vt:lpstr>'41'!Область_печати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НатальяФин</cp:lastModifiedBy>
  <cp:lastPrinted>2020-05-19T04:04:28Z</cp:lastPrinted>
  <dcterms:created xsi:type="dcterms:W3CDTF">2009-04-29T07:26:33Z</dcterms:created>
  <dcterms:modified xsi:type="dcterms:W3CDTF">2020-09-29T03:39:24Z</dcterms:modified>
</cp:coreProperties>
</file>